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Hargeisa\Amoud\corp fin\"/>
    </mc:Choice>
  </mc:AlternateContent>
  <bookViews>
    <workbookView xWindow="0" yWindow="0" windowWidth="20490" windowHeight="7755"/>
  </bookViews>
  <sheets>
    <sheet name="exercise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2" l="1"/>
  <c r="H63" i="2" l="1"/>
  <c r="E27" i="2"/>
  <c r="E22" i="2"/>
  <c r="E20" i="2"/>
  <c r="E24" i="2"/>
  <c r="F2" i="2"/>
  <c r="F92" i="2" s="1"/>
  <c r="F1" i="2"/>
  <c r="G1" i="2" s="1"/>
  <c r="H1" i="2" s="1"/>
  <c r="E4" i="2"/>
  <c r="E7" i="2" s="1"/>
  <c r="E19" i="2" s="1"/>
  <c r="F91" i="2" l="1"/>
  <c r="F47" i="2"/>
  <c r="F44" i="2"/>
  <c r="F48" i="2"/>
  <c r="E25" i="2"/>
  <c r="F4" i="2"/>
  <c r="F3" i="2" s="1"/>
  <c r="F58" i="2"/>
  <c r="G58" i="2" s="1"/>
  <c r="H58" i="2" s="1"/>
  <c r="F6" i="2"/>
  <c r="F86" i="2"/>
  <c r="G86" i="2" s="1"/>
  <c r="H86" i="2" s="1"/>
  <c r="F5" i="2"/>
  <c r="G2" i="2"/>
  <c r="E9" i="2"/>
  <c r="E11" i="2" s="1"/>
  <c r="G44" i="2" l="1"/>
  <c r="H44" i="2" s="1"/>
  <c r="M66" i="2"/>
  <c r="F51" i="2"/>
  <c r="G47" i="2"/>
  <c r="G48" i="2"/>
  <c r="F90" i="2"/>
  <c r="F46" i="2"/>
  <c r="F7" i="2"/>
  <c r="G6" i="2"/>
  <c r="G91" i="2"/>
  <c r="G5" i="2"/>
  <c r="G4" i="2"/>
  <c r="H2" i="2"/>
  <c r="G92" i="2"/>
  <c r="F30" i="2"/>
  <c r="H51" i="2"/>
  <c r="G51" i="2"/>
  <c r="N66" i="2" l="1"/>
  <c r="O66" i="2" s="1"/>
  <c r="L66" i="2"/>
  <c r="H47" i="2"/>
  <c r="H48" i="2"/>
  <c r="F87" i="2"/>
  <c r="F88" i="2" s="1"/>
  <c r="G90" i="2"/>
  <c r="G46" i="2"/>
  <c r="H92" i="2"/>
  <c r="H6" i="2"/>
  <c r="H91" i="2"/>
  <c r="H5" i="2"/>
  <c r="H4" i="2"/>
  <c r="H3" i="2" s="1"/>
  <c r="G7" i="2"/>
  <c r="G87" i="2" s="1"/>
  <c r="G3" i="2"/>
  <c r="H30" i="2"/>
  <c r="G30" i="2"/>
  <c r="E21" i="2"/>
  <c r="E23" i="2" s="1"/>
  <c r="G55" i="2"/>
  <c r="F55" i="2"/>
  <c r="H55" i="2"/>
  <c r="H46" i="2" l="1"/>
  <c r="H61" i="2"/>
  <c r="F89" i="2"/>
  <c r="F93" i="2" s="1"/>
  <c r="E26" i="2"/>
  <c r="H7" i="2"/>
  <c r="H90" i="2"/>
  <c r="G88" i="2"/>
  <c r="G89" i="2" s="1"/>
  <c r="G93" i="2" s="1"/>
  <c r="H87" i="2" l="1"/>
  <c r="H60" i="2"/>
  <c r="H62" i="2"/>
  <c r="H64" i="2" s="1"/>
  <c r="E28" i="2"/>
  <c r="F70" i="2" s="1"/>
  <c r="F52" i="2"/>
  <c r="F56" i="2" s="1"/>
  <c r="H88" i="2"/>
  <c r="H89" i="2" s="1"/>
  <c r="H93" i="2" s="1"/>
  <c r="F8" i="2" l="1"/>
  <c r="F9" i="2" s="1"/>
  <c r="F10" i="2" s="1"/>
  <c r="F11" i="2" s="1"/>
  <c r="F45" i="2" s="1"/>
  <c r="L68" i="2"/>
  <c r="F49" i="2" l="1"/>
  <c r="F59" i="2" s="1"/>
  <c r="F65" i="2" s="1"/>
  <c r="F53" i="2" s="1"/>
  <c r="F54" i="2" l="1"/>
  <c r="G52" i="2" s="1"/>
  <c r="F66" i="2"/>
  <c r="F67" i="2" s="1"/>
  <c r="G56" i="2"/>
  <c r="G8" i="2" s="1"/>
  <c r="G9" i="2" s="1"/>
  <c r="M68" i="2" l="1"/>
  <c r="F68" i="2"/>
  <c r="G10" i="2"/>
  <c r="G11" i="2" s="1"/>
  <c r="G45" i="2" s="1"/>
  <c r="G49" i="2" l="1"/>
  <c r="G59" i="2" s="1"/>
  <c r="G65" i="2" s="1"/>
  <c r="G53" i="2" s="1"/>
  <c r="G54" i="2" l="1"/>
  <c r="G66" i="2"/>
  <c r="G67" i="2" s="1"/>
  <c r="G68" i="2" s="1"/>
  <c r="H52" i="2"/>
  <c r="N68" i="2" l="1"/>
  <c r="H56" i="2"/>
  <c r="H8" i="2" s="1"/>
  <c r="H9" i="2" s="1"/>
  <c r="H10" i="2" l="1"/>
  <c r="H11" i="2" s="1"/>
  <c r="H45" i="2" s="1"/>
  <c r="H49" i="2" l="1"/>
  <c r="H59" i="2" s="1"/>
  <c r="H65" i="2" s="1"/>
  <c r="H53" i="2" s="1"/>
  <c r="H66" i="2" l="1"/>
  <c r="H67" i="2" s="1"/>
  <c r="O68" i="2" s="1"/>
  <c r="F73" i="2" s="1"/>
  <c r="H54" i="2"/>
  <c r="H68" i="2" l="1"/>
  <c r="F69" i="2" l="1"/>
  <c r="F71" i="2" s="1"/>
</calcChain>
</file>

<file path=xl/sharedStrings.xml><?xml version="1.0" encoding="utf-8"?>
<sst xmlns="http://schemas.openxmlformats.org/spreadsheetml/2006/main" count="81" uniqueCount="68">
  <si>
    <t>DSC</t>
  </si>
  <si>
    <t>Net cash flow</t>
  </si>
  <si>
    <t>Interest rate</t>
  </si>
  <si>
    <t>Interest payment allowed</t>
  </si>
  <si>
    <t>Max loan amount</t>
  </si>
  <si>
    <t>Equity required</t>
  </si>
  <si>
    <t>Debt payment</t>
  </si>
  <si>
    <t>Beginning balance</t>
  </si>
  <si>
    <t>Ending balance</t>
  </si>
  <si>
    <t>Cash Flow Analysis</t>
  </si>
  <si>
    <t>Debt Schedule</t>
  </si>
  <si>
    <t>Interest expense (beginning balance)</t>
  </si>
  <si>
    <t>Capital expenditures</t>
  </si>
  <si>
    <t>Divestiture</t>
  </si>
  <si>
    <t>PV cash flows</t>
  </si>
  <si>
    <t>Total PV cash flows</t>
  </si>
  <si>
    <t>Investment</t>
  </si>
  <si>
    <t>NPV</t>
  </si>
  <si>
    <t>NPV analysis discount rate</t>
  </si>
  <si>
    <t>CELLS USED FOR IRR ANALYSIS</t>
  </si>
  <si>
    <t>Sales</t>
  </si>
  <si>
    <t>Operating expenses</t>
  </si>
  <si>
    <t>Cost of goods sold</t>
  </si>
  <si>
    <t>Gross profit</t>
  </si>
  <si>
    <t>Depreciation</t>
  </si>
  <si>
    <t>Interest expense</t>
  </si>
  <si>
    <t>Income tax expense</t>
  </si>
  <si>
    <t>Net Income</t>
  </si>
  <si>
    <t>Turnover Inc.</t>
  </si>
  <si>
    <t>Free cash flow</t>
  </si>
  <si>
    <t>Working capital</t>
  </si>
  <si>
    <t>EBIT</t>
  </si>
  <si>
    <t>Tax payable on EBIT</t>
  </si>
  <si>
    <t>Unlevered net income</t>
  </si>
  <si>
    <t>Depreciation/amortization</t>
  </si>
  <si>
    <t>EBT</t>
  </si>
  <si>
    <t>Sales growth</t>
  </si>
  <si>
    <t>Gross margin</t>
  </si>
  <si>
    <t>Operating expenses as a % of sales</t>
  </si>
  <si>
    <t>Depreciation as a % of sales</t>
  </si>
  <si>
    <t>Income tax rate</t>
  </si>
  <si>
    <t>Capital expenditures as a % of sales</t>
  </si>
  <si>
    <t>Purchase price</t>
  </si>
  <si>
    <t>Debt to equity ratio</t>
  </si>
  <si>
    <t>Loan amount</t>
  </si>
  <si>
    <t>Debt to equity</t>
  </si>
  <si>
    <t>DSCR (based on 2016 EBIT)</t>
  </si>
  <si>
    <t>DA</t>
  </si>
  <si>
    <t>EBITDA</t>
  </si>
  <si>
    <t>Multiple</t>
  </si>
  <si>
    <t>Transaction Assumptions</t>
  </si>
  <si>
    <t>Operating Assumptions</t>
  </si>
  <si>
    <t>a</t>
  </si>
  <si>
    <t>b</t>
  </si>
  <si>
    <t>c</t>
  </si>
  <si>
    <t>Net income</t>
  </si>
  <si>
    <t>Cash flow available for debt paydown</t>
  </si>
  <si>
    <t>DCF Analysis</t>
  </si>
  <si>
    <t>Valuation EBITDA multiple end of year 3</t>
  </si>
  <si>
    <t>Working capital increase</t>
  </si>
  <si>
    <t>Working capital increase as a % of sales</t>
  </si>
  <si>
    <t>d</t>
  </si>
  <si>
    <t>e</t>
  </si>
  <si>
    <t>f</t>
  </si>
  <si>
    <t>g</t>
  </si>
  <si>
    <t>DECISION: NPV &lt; $0, do not pursue the project.</t>
  </si>
  <si>
    <t>NOTE: as a "check" I have calculated IRR, which is 13.1%, lower than the discount rate, which confirms the decision to reject the project.</t>
  </si>
  <si>
    <t>IRR (not required for the project submission)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</si>
</sst>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0.0%"/>
    <numFmt numFmtId="167" formatCode="0_);\(0\)"/>
    <numFmt numFmtId="168" formatCode="_(&quot;$&quot;* #,##0_);_(&quot;$&quot;* \(#,##0\);_(&quot;$&quot;* &quot;-&quot;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164" fontId="0" fillId="0" borderId="0" xfId="2" applyNumberFormat="1" applyFont="1"/>
    <xf numFmtId="164" fontId="0" fillId="0" borderId="1" xfId="0" applyNumberFormat="1" applyBorder="1"/>
    <xf numFmtId="0" fontId="0" fillId="0" borderId="1" xfId="0" applyBorder="1"/>
    <xf numFmtId="164" fontId="0" fillId="0" borderId="0" xfId="0" applyNumberFormat="1"/>
    <xf numFmtId="0" fontId="2" fillId="0" borderId="1" xfId="0" applyFont="1" applyBorder="1"/>
    <xf numFmtId="9" fontId="3" fillId="0" borderId="0" xfId="0" applyNumberFormat="1" applyFont="1"/>
    <xf numFmtId="10" fontId="0" fillId="0" borderId="1" xfId="0" applyNumberFormat="1" applyBorder="1"/>
    <xf numFmtId="0" fontId="2" fillId="0" borderId="0" xfId="0" applyFont="1"/>
    <xf numFmtId="164" fontId="2" fillId="0" borderId="0" xfId="0" applyNumberFormat="1" applyFont="1"/>
    <xf numFmtId="0" fontId="0" fillId="0" borderId="0" xfId="0" applyBorder="1"/>
    <xf numFmtId="164" fontId="0" fillId="0" borderId="0" xfId="0" applyNumberFormat="1" applyBorder="1"/>
    <xf numFmtId="0" fontId="0" fillId="0" borderId="0" xfId="0" applyFill="1" applyBorder="1"/>
    <xf numFmtId="165" fontId="3" fillId="0" borderId="0" xfId="1" applyNumberFormat="1" applyFont="1"/>
    <xf numFmtId="164" fontId="3" fillId="0" borderId="1" xfId="0" applyNumberFormat="1" applyFont="1" applyBorder="1"/>
    <xf numFmtId="0" fontId="0" fillId="0" borderId="1" xfId="0" applyFill="1" applyBorder="1"/>
    <xf numFmtId="9" fontId="3" fillId="0" borderId="1" xfId="0" applyNumberFormat="1" applyFont="1" applyBorder="1"/>
    <xf numFmtId="166" fontId="0" fillId="0" borderId="0" xfId="3" applyNumberFormat="1" applyFont="1"/>
    <xf numFmtId="166" fontId="3" fillId="0" borderId="0" xfId="0" applyNumberFormat="1" applyFont="1" applyBorder="1"/>
    <xf numFmtId="166" fontId="4" fillId="0" borderId="1" xfId="0" applyNumberFormat="1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164" fontId="0" fillId="0" borderId="5" xfId="2" applyNumberFormat="1" applyFont="1" applyBorder="1"/>
    <xf numFmtId="164" fontId="0" fillId="0" borderId="1" xfId="2" applyNumberFormat="1" applyFont="1" applyBorder="1"/>
    <xf numFmtId="164" fontId="0" fillId="0" borderId="6" xfId="2" applyNumberFormat="1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1" xfId="0" applyFont="1" applyBorder="1"/>
    <xf numFmtId="164" fontId="1" fillId="0" borderId="0" xfId="2" applyNumberFormat="1" applyFont="1" applyBorder="1"/>
    <xf numFmtId="164" fontId="1" fillId="0" borderId="1" xfId="2" applyNumberFormat="1" applyFont="1" applyBorder="1"/>
    <xf numFmtId="164" fontId="3" fillId="0" borderId="0" xfId="2" applyNumberFormat="1" applyFont="1" applyBorder="1"/>
    <xf numFmtId="164" fontId="3" fillId="0" borderId="1" xfId="2" applyNumberFormat="1" applyFont="1" applyBorder="1"/>
    <xf numFmtId="0" fontId="0" fillId="0" borderId="0" xfId="0" applyFont="1" applyFill="1" applyBorder="1"/>
    <xf numFmtId="0" fontId="0" fillId="0" borderId="1" xfId="0" applyFont="1" applyFill="1" applyBorder="1"/>
    <xf numFmtId="167" fontId="2" fillId="0" borderId="1" xfId="1" applyNumberFormat="1" applyFont="1" applyBorder="1"/>
    <xf numFmtId="164" fontId="4" fillId="0" borderId="1" xfId="2" applyNumberFormat="1" applyFont="1" applyBorder="1"/>
    <xf numFmtId="166" fontId="3" fillId="0" borderId="0" xfId="0" applyNumberFormat="1" applyFont="1"/>
    <xf numFmtId="164" fontId="0" fillId="0" borderId="0" xfId="2" applyNumberFormat="1" applyFont="1" applyBorder="1"/>
    <xf numFmtId="164" fontId="3" fillId="0" borderId="0" xfId="0" applyNumberFormat="1" applyFont="1" applyBorder="1"/>
    <xf numFmtId="10" fontId="0" fillId="0" borderId="0" xfId="0" applyNumberFormat="1" applyBorder="1"/>
    <xf numFmtId="165" fontId="3" fillId="0" borderId="0" xfId="1" applyNumberFormat="1" applyFont="1" applyBorder="1"/>
    <xf numFmtId="168" fontId="0" fillId="0" borderId="0" xfId="0" applyNumberFormat="1"/>
    <xf numFmtId="168" fontId="0" fillId="0" borderId="1" xfId="0" applyNumberFormat="1" applyBorder="1"/>
    <xf numFmtId="167" fontId="2" fillId="0" borderId="1" xfId="0" applyNumberFormat="1" applyFont="1" applyBorder="1"/>
    <xf numFmtId="164" fontId="4" fillId="0" borderId="0" xfId="2" applyNumberFormat="1" applyFont="1"/>
    <xf numFmtId="43" fontId="3" fillId="0" borderId="0" xfId="1" applyNumberFormat="1" applyFont="1" applyBorder="1"/>
    <xf numFmtId="10" fontId="3" fillId="0" borderId="0" xfId="0" applyNumberFormat="1" applyFont="1" applyBorder="1"/>
    <xf numFmtId="0" fontId="0" fillId="0" borderId="0" xfId="0" applyFont="1"/>
    <xf numFmtId="164" fontId="0" fillId="0" borderId="0" xfId="0" applyNumberFormat="1" applyFont="1"/>
    <xf numFmtId="43" fontId="4" fillId="0" borderId="1" xfId="1" applyNumberFormat="1" applyFont="1" applyBorder="1"/>
    <xf numFmtId="164" fontId="4" fillId="0" borderId="0" xfId="0" applyNumberFormat="1" applyFont="1"/>
    <xf numFmtId="10" fontId="4" fillId="0" borderId="1" xfId="0" applyNumberFormat="1" applyFont="1" applyBorder="1"/>
    <xf numFmtId="165" fontId="4" fillId="0" borderId="0" xfId="1" applyNumberFormat="1" applyFont="1"/>
    <xf numFmtId="164" fontId="4" fillId="0" borderId="1" xfId="0" applyNumberFormat="1" applyFont="1" applyBorder="1"/>
    <xf numFmtId="164" fontId="4" fillId="0" borderId="0" xfId="0" applyNumberFormat="1" applyFont="1" applyBorder="1"/>
    <xf numFmtId="0" fontId="2" fillId="0" borderId="1" xfId="0" applyFont="1" applyFill="1" applyBorder="1"/>
    <xf numFmtId="165" fontId="0" fillId="0" borderId="1" xfId="1" applyNumberFormat="1" applyFont="1" applyBorder="1"/>
    <xf numFmtId="164" fontId="0" fillId="0" borderId="0" xfId="0" applyNumberFormat="1" applyFont="1" applyBorder="1"/>
    <xf numFmtId="168" fontId="0" fillId="0" borderId="0" xfId="0" applyNumberFormat="1" applyFont="1" applyBorder="1"/>
    <xf numFmtId="167" fontId="2" fillId="0" borderId="0" xfId="0" applyNumberFormat="1" applyFont="1"/>
    <xf numFmtId="0" fontId="2" fillId="0" borderId="0" xfId="0" applyFont="1" applyFill="1" applyBorder="1"/>
    <xf numFmtId="0" fontId="2" fillId="0" borderId="7" xfId="0" applyFont="1" applyFill="1" applyBorder="1"/>
    <xf numFmtId="0" fontId="2" fillId="0" borderId="8" xfId="0" applyFont="1" applyBorder="1"/>
    <xf numFmtId="9" fontId="5" fillId="0" borderId="8" xfId="0" applyNumberFormat="1" applyFont="1" applyBorder="1"/>
    <xf numFmtId="166" fontId="2" fillId="0" borderId="9" xfId="3" applyNumberFormat="1" applyFont="1" applyBorder="1"/>
    <xf numFmtId="164" fontId="2" fillId="0" borderId="9" xfId="0" applyNumberFormat="1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9" fontId="5" fillId="0" borderId="0" xfId="0" applyNumberFormat="1" applyFont="1" applyBorder="1"/>
    <xf numFmtId="164" fontId="2" fillId="0" borderId="0" xfId="0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showGridLines="0" tabSelected="1" workbookViewId="0">
      <selection activeCell="A2" sqref="A2"/>
    </sheetView>
  </sheetViews>
  <sheetFormatPr defaultRowHeight="15" x14ac:dyDescent="0.25"/>
  <cols>
    <col min="1" max="1" width="4.7109375" customWidth="1"/>
    <col min="2" max="2" width="2.7109375" customWidth="1"/>
    <col min="3" max="3" width="20.7109375" customWidth="1"/>
    <col min="4" max="4" width="15.7109375" customWidth="1"/>
    <col min="5" max="11" width="12.7109375" customWidth="1"/>
    <col min="12" max="15" width="14.7109375" customWidth="1"/>
  </cols>
  <sheetData>
    <row r="1" spans="1:8" x14ac:dyDescent="0.25">
      <c r="A1" s="69" t="s">
        <v>54</v>
      </c>
      <c r="B1" s="5" t="s">
        <v>28</v>
      </c>
      <c r="C1" s="5"/>
      <c r="D1" s="5"/>
      <c r="E1" s="35">
        <v>2016</v>
      </c>
      <c r="F1" s="35">
        <f>E1+1</f>
        <v>2017</v>
      </c>
      <c r="G1" s="35">
        <f>F1+1</f>
        <v>2018</v>
      </c>
      <c r="H1" s="35">
        <f>G1+1</f>
        <v>2019</v>
      </c>
    </row>
    <row r="2" spans="1:8" x14ac:dyDescent="0.25">
      <c r="A2" s="69"/>
      <c r="B2" s="27" t="s">
        <v>20</v>
      </c>
      <c r="C2" s="26"/>
      <c r="D2" s="26"/>
      <c r="E2" s="31">
        <v>6800000</v>
      </c>
      <c r="F2" s="1">
        <f>E2*(1+F31)</f>
        <v>7616000.0000000009</v>
      </c>
      <c r="G2" s="1">
        <f>F2*(1+G31)</f>
        <v>8225280.0000000019</v>
      </c>
      <c r="H2" s="1">
        <f>G2*(1+H31)</f>
        <v>8718796.8000000026</v>
      </c>
    </row>
    <row r="3" spans="1:8" x14ac:dyDescent="0.25">
      <c r="A3" s="69"/>
      <c r="B3" s="28" t="s">
        <v>22</v>
      </c>
      <c r="C3" s="5"/>
      <c r="D3" s="5"/>
      <c r="E3" s="32">
        <v>3250000</v>
      </c>
      <c r="F3" s="2">
        <f>F2-F4</f>
        <v>3655680.0000000005</v>
      </c>
      <c r="G3" s="2">
        <f t="shared" ref="G3:H3" si="0">G2-G4</f>
        <v>3865881.6000000006</v>
      </c>
      <c r="H3" s="2">
        <f t="shared" si="0"/>
        <v>4010646.5280000009</v>
      </c>
    </row>
    <row r="4" spans="1:8" x14ac:dyDescent="0.25">
      <c r="A4" s="69"/>
      <c r="B4" s="27" t="s">
        <v>23</v>
      </c>
      <c r="C4" s="26"/>
      <c r="D4" s="26"/>
      <c r="E4" s="29">
        <f>E2-E3</f>
        <v>3550000</v>
      </c>
      <c r="F4" s="1">
        <f>F2*F32</f>
        <v>3960320.0000000005</v>
      </c>
      <c r="G4" s="1">
        <f>G2*G32</f>
        <v>4359398.4000000013</v>
      </c>
      <c r="H4" s="1">
        <f>H2*H32</f>
        <v>4708150.2720000017</v>
      </c>
    </row>
    <row r="5" spans="1:8" x14ac:dyDescent="0.25">
      <c r="A5" s="69"/>
      <c r="B5" s="27" t="s">
        <v>21</v>
      </c>
      <c r="C5" s="26"/>
      <c r="D5" s="26"/>
      <c r="E5" s="31">
        <v>1960000</v>
      </c>
      <c r="F5" s="42">
        <f>F2*F33</f>
        <v>2208640</v>
      </c>
      <c r="G5" s="42">
        <f>G2*G33</f>
        <v>2303078.4000000008</v>
      </c>
      <c r="H5" s="42">
        <f>H2*H33</f>
        <v>2441263.1040000007</v>
      </c>
    </row>
    <row r="6" spans="1:8" x14ac:dyDescent="0.25">
      <c r="A6" s="69"/>
      <c r="B6" s="28" t="s">
        <v>24</v>
      </c>
      <c r="C6" s="5"/>
      <c r="D6" s="5"/>
      <c r="E6" s="32">
        <v>480000</v>
      </c>
      <c r="F6" s="43">
        <f>F2*F34</f>
        <v>533120.00000000012</v>
      </c>
      <c r="G6" s="43">
        <f>G2*G34</f>
        <v>575769.60000000021</v>
      </c>
      <c r="H6" s="43">
        <f>H2*H34</f>
        <v>610315.77600000019</v>
      </c>
    </row>
    <row r="7" spans="1:8" x14ac:dyDescent="0.25">
      <c r="A7" s="69"/>
      <c r="B7" s="27" t="s">
        <v>31</v>
      </c>
      <c r="C7" s="26"/>
      <c r="D7" s="26"/>
      <c r="E7" s="29">
        <f>E4-E5-E6</f>
        <v>1110000</v>
      </c>
      <c r="F7" s="29">
        <f>F4-F5-F6</f>
        <v>1218560.0000000005</v>
      </c>
      <c r="G7" s="29">
        <f t="shared" ref="G7:H7" si="1">G4-G5-G6</f>
        <v>1480550.4000000004</v>
      </c>
      <c r="H7" s="29">
        <f t="shared" si="1"/>
        <v>1656571.3920000009</v>
      </c>
    </row>
    <row r="8" spans="1:8" x14ac:dyDescent="0.25">
      <c r="A8" s="69"/>
      <c r="B8" s="34" t="s">
        <v>25</v>
      </c>
      <c r="C8" s="5"/>
      <c r="D8" s="5"/>
      <c r="E8" s="32">
        <v>180000</v>
      </c>
      <c r="F8" s="2">
        <f>F56</f>
        <v>444000</v>
      </c>
      <c r="G8" s="2">
        <f>G56</f>
        <v>387396.24959999998</v>
      </c>
      <c r="H8" s="2">
        <f>H56</f>
        <v>312960.53364326392</v>
      </c>
    </row>
    <row r="9" spans="1:8" x14ac:dyDescent="0.25">
      <c r="A9" s="69"/>
      <c r="B9" s="33" t="s">
        <v>35</v>
      </c>
      <c r="C9" s="26"/>
      <c r="D9" s="26"/>
      <c r="E9" s="29">
        <f>E7-E8</f>
        <v>930000</v>
      </c>
      <c r="F9" s="29">
        <f t="shared" ref="F9:H9" si="2">F7-F8</f>
        <v>774560.00000000047</v>
      </c>
      <c r="G9" s="29">
        <f t="shared" si="2"/>
        <v>1093154.1504000004</v>
      </c>
      <c r="H9" s="29">
        <f t="shared" si="2"/>
        <v>1343610.8583567371</v>
      </c>
    </row>
    <row r="10" spans="1:8" x14ac:dyDescent="0.25">
      <c r="A10" s="69"/>
      <c r="B10" s="34" t="s">
        <v>26</v>
      </c>
      <c r="C10" s="5"/>
      <c r="D10" s="5"/>
      <c r="E10" s="32">
        <v>260000</v>
      </c>
      <c r="F10" s="2">
        <f>F9*F35</f>
        <v>216876.80000000016</v>
      </c>
      <c r="G10" s="2">
        <f t="shared" ref="G10:H10" si="3">G9*G35</f>
        <v>306083.16211200017</v>
      </c>
      <c r="H10" s="2">
        <f t="shared" si="3"/>
        <v>376211.04033988639</v>
      </c>
    </row>
    <row r="11" spans="1:8" x14ac:dyDescent="0.25">
      <c r="A11" s="69"/>
      <c r="B11" s="33" t="s">
        <v>27</v>
      </c>
      <c r="C11" s="26"/>
      <c r="D11" s="26"/>
      <c r="E11" s="29">
        <f>E9-E10</f>
        <v>670000</v>
      </c>
      <c r="F11" s="29">
        <f t="shared" ref="F11:H11" si="4">F9-F10</f>
        <v>557683.2000000003</v>
      </c>
      <c r="G11" s="29">
        <f t="shared" si="4"/>
        <v>787070.98828800023</v>
      </c>
      <c r="H11" s="29">
        <f t="shared" si="4"/>
        <v>967399.81801685062</v>
      </c>
    </row>
    <row r="12" spans="1:8" x14ac:dyDescent="0.25">
      <c r="A12" s="69"/>
      <c r="B12" s="33"/>
      <c r="C12" s="26"/>
      <c r="D12" s="26"/>
      <c r="E12" s="29"/>
    </row>
    <row r="13" spans="1:8" x14ac:dyDescent="0.25">
      <c r="A13" s="69"/>
      <c r="F13" s="4"/>
    </row>
    <row r="14" spans="1:8" x14ac:dyDescent="0.25">
      <c r="A14" s="69"/>
      <c r="B14" s="33"/>
      <c r="C14" s="26"/>
      <c r="D14" s="26"/>
      <c r="E14" s="29"/>
    </row>
    <row r="15" spans="1:8" x14ac:dyDescent="0.25">
      <c r="A15" s="69"/>
      <c r="B15" s="10" t="s">
        <v>2</v>
      </c>
      <c r="C15" s="10"/>
      <c r="D15" s="10"/>
      <c r="E15" s="47">
        <v>7.1999999999999995E-2</v>
      </c>
      <c r="F15" s="10"/>
    </row>
    <row r="16" spans="1:8" x14ac:dyDescent="0.25">
      <c r="A16" s="69"/>
      <c r="B16" s="10" t="s">
        <v>46</v>
      </c>
      <c r="C16" s="10"/>
      <c r="D16" s="10"/>
      <c r="E16" s="46">
        <v>2.5</v>
      </c>
      <c r="F16" s="10"/>
    </row>
    <row r="17" spans="1:10" x14ac:dyDescent="0.25">
      <c r="A17" s="69"/>
      <c r="B17" s="33" t="s">
        <v>43</v>
      </c>
      <c r="C17" s="26"/>
      <c r="D17" s="26"/>
      <c r="E17" s="41">
        <v>1</v>
      </c>
      <c r="F17" s="10"/>
    </row>
    <row r="18" spans="1:10" x14ac:dyDescent="0.25">
      <c r="A18" s="69"/>
      <c r="B18" s="33"/>
      <c r="C18" s="26"/>
      <c r="D18" s="26"/>
      <c r="E18" s="46"/>
      <c r="F18" s="10"/>
    </row>
    <row r="19" spans="1:10" x14ac:dyDescent="0.25">
      <c r="A19" s="69"/>
      <c r="B19" t="s">
        <v>31</v>
      </c>
      <c r="E19" s="45">
        <f>E7</f>
        <v>1110000</v>
      </c>
    </row>
    <row r="20" spans="1:10" x14ac:dyDescent="0.25">
      <c r="A20" s="69"/>
      <c r="B20" s="3" t="s">
        <v>0</v>
      </c>
      <c r="C20" s="3"/>
      <c r="D20" s="3"/>
      <c r="E20" s="50">
        <f>E16</f>
        <v>2.5</v>
      </c>
    </row>
    <row r="21" spans="1:10" x14ac:dyDescent="0.25">
      <c r="A21" s="69"/>
      <c r="B21" t="s">
        <v>3</v>
      </c>
      <c r="E21" s="51">
        <f>E19/E20</f>
        <v>444000</v>
      </c>
    </row>
    <row r="22" spans="1:10" x14ac:dyDescent="0.25">
      <c r="A22" s="69"/>
      <c r="B22" s="3" t="s">
        <v>2</v>
      </c>
      <c r="C22" s="3"/>
      <c r="D22" s="3"/>
      <c r="E22" s="52">
        <f>E15</f>
        <v>7.1999999999999995E-2</v>
      </c>
    </row>
    <row r="23" spans="1:10" x14ac:dyDescent="0.25">
      <c r="A23" s="69"/>
      <c r="B23" s="48" t="s">
        <v>44</v>
      </c>
      <c r="C23" s="48"/>
      <c r="D23" s="48"/>
      <c r="E23" s="51">
        <f>E21/E22</f>
        <v>6166666.666666667</v>
      </c>
    </row>
    <row r="24" spans="1:10" x14ac:dyDescent="0.25">
      <c r="A24" s="69"/>
      <c r="B24" s="48" t="s">
        <v>45</v>
      </c>
      <c r="C24" s="8"/>
      <c r="D24" s="8"/>
      <c r="E24" s="53">
        <f>E17</f>
        <v>1</v>
      </c>
    </row>
    <row r="25" spans="1:10" x14ac:dyDescent="0.25">
      <c r="A25" s="69"/>
      <c r="B25" s="28" t="s">
        <v>44</v>
      </c>
      <c r="C25" s="5"/>
      <c r="D25" s="5"/>
      <c r="E25" s="54">
        <f>E27*E24/2</f>
        <v>7100000</v>
      </c>
    </row>
    <row r="26" spans="1:10" x14ac:dyDescent="0.25">
      <c r="A26" s="69" t="s">
        <v>52</v>
      </c>
      <c r="B26" s="27" t="s">
        <v>4</v>
      </c>
      <c r="C26" s="26"/>
      <c r="D26" s="26"/>
      <c r="E26" s="55">
        <f>MIN(E23,E25)</f>
        <v>6166666.666666667</v>
      </c>
      <c r="F26" s="10"/>
    </row>
    <row r="27" spans="1:10" x14ac:dyDescent="0.25">
      <c r="A27" s="69"/>
      <c r="B27" s="3" t="s">
        <v>42</v>
      </c>
      <c r="C27" s="3"/>
      <c r="D27" s="3"/>
      <c r="E27" s="54">
        <f>F40</f>
        <v>14200000</v>
      </c>
    </row>
    <row r="28" spans="1:10" x14ac:dyDescent="0.25">
      <c r="A28" s="69" t="s">
        <v>53</v>
      </c>
      <c r="B28" s="8" t="s">
        <v>5</v>
      </c>
      <c r="C28" s="8"/>
      <c r="D28" s="8"/>
      <c r="E28" s="9">
        <f>E27-E26</f>
        <v>8033333.333333333</v>
      </c>
    </row>
    <row r="29" spans="1:10" x14ac:dyDescent="0.25">
      <c r="A29" s="69"/>
      <c r="B29" s="8"/>
      <c r="C29" s="8"/>
      <c r="D29" s="8"/>
      <c r="E29" s="9"/>
    </row>
    <row r="30" spans="1:10" x14ac:dyDescent="0.25">
      <c r="A30" s="69"/>
      <c r="B30" s="5" t="s">
        <v>51</v>
      </c>
      <c r="C30" s="3"/>
      <c r="D30" s="3"/>
      <c r="E30" s="3"/>
      <c r="F30" s="5">
        <f>F51</f>
        <v>2017</v>
      </c>
      <c r="G30" s="5">
        <f>G51</f>
        <v>2018</v>
      </c>
      <c r="H30" s="5">
        <f>H51</f>
        <v>2019</v>
      </c>
      <c r="I30" s="26"/>
      <c r="J30" s="26"/>
    </row>
    <row r="31" spans="1:10" x14ac:dyDescent="0.25">
      <c r="A31" s="69"/>
      <c r="B31" t="s">
        <v>36</v>
      </c>
      <c r="F31" s="37">
        <v>0.12</v>
      </c>
      <c r="G31" s="37">
        <v>0.08</v>
      </c>
      <c r="H31" s="37">
        <v>0.06</v>
      </c>
      <c r="I31" s="18"/>
      <c r="J31" s="18"/>
    </row>
    <row r="32" spans="1:10" x14ac:dyDescent="0.25">
      <c r="A32" s="69"/>
      <c r="B32" t="s">
        <v>37</v>
      </c>
      <c r="F32" s="37">
        <v>0.52</v>
      </c>
      <c r="G32" s="37">
        <v>0.53</v>
      </c>
      <c r="H32" s="37">
        <v>0.54</v>
      </c>
      <c r="I32" s="18"/>
      <c r="J32" s="18"/>
    </row>
    <row r="33" spans="1:10" x14ac:dyDescent="0.25">
      <c r="A33" s="69"/>
      <c r="B33" t="s">
        <v>38</v>
      </c>
      <c r="F33" s="37">
        <v>0.28999999999999998</v>
      </c>
      <c r="G33" s="37">
        <v>0.28000000000000003</v>
      </c>
      <c r="H33" s="37">
        <v>0.28000000000000003</v>
      </c>
      <c r="I33" s="18"/>
      <c r="J33" s="18"/>
    </row>
    <row r="34" spans="1:10" x14ac:dyDescent="0.25">
      <c r="A34" s="69"/>
      <c r="B34" t="s">
        <v>39</v>
      </c>
      <c r="F34" s="37">
        <v>7.0000000000000007E-2</v>
      </c>
      <c r="G34" s="37">
        <v>7.0000000000000007E-2</v>
      </c>
      <c r="H34" s="37">
        <v>7.0000000000000007E-2</v>
      </c>
      <c r="I34" s="18"/>
      <c r="J34" s="18"/>
    </row>
    <row r="35" spans="1:10" x14ac:dyDescent="0.25">
      <c r="A35" s="69"/>
      <c r="B35" t="s">
        <v>40</v>
      </c>
      <c r="F35" s="37">
        <v>0.28000000000000003</v>
      </c>
      <c r="G35" s="37">
        <v>0.28000000000000003</v>
      </c>
      <c r="H35" s="37">
        <v>0.28000000000000003</v>
      </c>
      <c r="I35" s="18"/>
      <c r="J35" s="18"/>
    </row>
    <row r="36" spans="1:10" x14ac:dyDescent="0.25">
      <c r="A36" s="69"/>
      <c r="B36" s="27" t="s">
        <v>41</v>
      </c>
      <c r="F36" s="6">
        <v>0.03</v>
      </c>
      <c r="G36" s="6">
        <v>0.03</v>
      </c>
      <c r="H36" s="6">
        <v>0.03</v>
      </c>
      <c r="I36" s="10"/>
      <c r="J36" s="10"/>
    </row>
    <row r="37" spans="1:10" x14ac:dyDescent="0.25">
      <c r="A37" s="69"/>
      <c r="B37" s="33" t="s">
        <v>60</v>
      </c>
      <c r="F37" s="6">
        <v>0.01</v>
      </c>
      <c r="G37" s="6">
        <v>0.01</v>
      </c>
      <c r="H37" s="6">
        <v>0.01</v>
      </c>
      <c r="I37" s="10"/>
      <c r="J37" s="10"/>
    </row>
    <row r="38" spans="1:10" x14ac:dyDescent="0.25">
      <c r="A38" s="69"/>
      <c r="B38" s="33"/>
      <c r="F38" s="6"/>
      <c r="G38" s="6"/>
      <c r="H38" s="6"/>
      <c r="I38" s="10"/>
      <c r="J38" s="10"/>
    </row>
    <row r="39" spans="1:10" x14ac:dyDescent="0.25">
      <c r="A39" s="69"/>
      <c r="B39" s="56" t="s">
        <v>50</v>
      </c>
      <c r="C39" s="5"/>
      <c r="D39" s="5"/>
      <c r="E39" s="5"/>
      <c r="F39" s="16"/>
      <c r="G39" s="6"/>
      <c r="H39" s="6"/>
      <c r="I39" s="10"/>
      <c r="J39" s="10"/>
    </row>
    <row r="40" spans="1:10" x14ac:dyDescent="0.25">
      <c r="A40" s="69"/>
      <c r="B40" s="33" t="s">
        <v>42</v>
      </c>
      <c r="C40" s="27"/>
      <c r="D40" s="27"/>
      <c r="F40" s="39">
        <v>14200000</v>
      </c>
      <c r="G40" s="6"/>
      <c r="H40" s="6"/>
      <c r="I40" s="10"/>
      <c r="J40" s="10"/>
    </row>
    <row r="41" spans="1:10" x14ac:dyDescent="0.25">
      <c r="A41" s="69"/>
      <c r="B41" t="s">
        <v>58</v>
      </c>
      <c r="F41" s="13">
        <v>6.5</v>
      </c>
      <c r="I41" s="10"/>
      <c r="J41" s="10"/>
    </row>
    <row r="42" spans="1:10" x14ac:dyDescent="0.25">
      <c r="A42" s="69"/>
      <c r="B42" t="s">
        <v>18</v>
      </c>
      <c r="F42" s="18">
        <v>0.16</v>
      </c>
    </row>
    <row r="43" spans="1:10" x14ac:dyDescent="0.25">
      <c r="A43" s="69"/>
      <c r="B43" s="8"/>
      <c r="C43" s="8"/>
      <c r="D43" s="8"/>
      <c r="E43" s="9"/>
    </row>
    <row r="44" spans="1:10" x14ac:dyDescent="0.25">
      <c r="A44" s="69" t="s">
        <v>61</v>
      </c>
      <c r="B44" s="5" t="s">
        <v>9</v>
      </c>
      <c r="C44" s="5"/>
      <c r="D44" s="5"/>
      <c r="E44" s="5"/>
      <c r="F44" s="44">
        <f>F1</f>
        <v>2017</v>
      </c>
      <c r="G44" s="5">
        <f>F44+1</f>
        <v>2018</v>
      </c>
      <c r="H44" s="5">
        <f t="shared" ref="H44" si="5">G44+1</f>
        <v>2019</v>
      </c>
    </row>
    <row r="45" spans="1:10" x14ac:dyDescent="0.25">
      <c r="A45" s="69"/>
      <c r="B45" s="48" t="s">
        <v>55</v>
      </c>
      <c r="C45" s="48"/>
      <c r="D45" s="48"/>
      <c r="E45" s="49"/>
      <c r="F45" s="49">
        <f>F11</f>
        <v>557683.2000000003</v>
      </c>
      <c r="G45" s="49">
        <f t="shared" ref="G45:H45" si="6">G11</f>
        <v>787070.98828800023</v>
      </c>
      <c r="H45" s="49">
        <f t="shared" si="6"/>
        <v>967399.81801685062</v>
      </c>
    </row>
    <row r="46" spans="1:10" s="10" customFormat="1" x14ac:dyDescent="0.25">
      <c r="A46" s="70"/>
      <c r="B46" s="27" t="s">
        <v>24</v>
      </c>
      <c r="C46" s="27"/>
      <c r="D46" s="27"/>
      <c r="E46" s="58"/>
      <c r="F46" s="59">
        <f>F6</f>
        <v>533120.00000000012</v>
      </c>
      <c r="G46" s="59">
        <f t="shared" ref="G46:H46" si="7">G6</f>
        <v>575769.60000000021</v>
      </c>
      <c r="H46" s="59">
        <f t="shared" si="7"/>
        <v>610315.77600000019</v>
      </c>
    </row>
    <row r="47" spans="1:10" x14ac:dyDescent="0.25">
      <c r="A47" s="69"/>
      <c r="B47" s="27" t="s">
        <v>12</v>
      </c>
      <c r="C47" s="26"/>
      <c r="D47" s="26"/>
      <c r="E47" s="29"/>
      <c r="F47" s="29">
        <f>F2*-F36</f>
        <v>-228480.00000000003</v>
      </c>
      <c r="G47" s="29">
        <f>G2*-G36</f>
        <v>-246758.40000000005</v>
      </c>
      <c r="H47" s="29">
        <f>H2*-H36</f>
        <v>-261563.90400000007</v>
      </c>
    </row>
    <row r="48" spans="1:10" x14ac:dyDescent="0.25">
      <c r="A48" s="69"/>
      <c r="B48" s="34" t="s">
        <v>59</v>
      </c>
      <c r="C48" s="5"/>
      <c r="D48" s="5"/>
      <c r="E48" s="36"/>
      <c r="F48" s="30">
        <f>F2*-F37</f>
        <v>-76160.000000000015</v>
      </c>
      <c r="G48" s="30">
        <f>G2*-G37</f>
        <v>-82252.800000000017</v>
      </c>
      <c r="H48" s="30">
        <f>H2*-H37</f>
        <v>-87187.968000000023</v>
      </c>
    </row>
    <row r="49" spans="1:10" x14ac:dyDescent="0.25">
      <c r="A49" s="69"/>
      <c r="B49" s="33" t="s">
        <v>56</v>
      </c>
      <c r="C49" s="26"/>
      <c r="D49" s="26"/>
      <c r="E49" s="29"/>
      <c r="F49" s="29">
        <f>SUM(F45:F48)</f>
        <v>786163.20000000042</v>
      </c>
      <c r="G49" s="29">
        <f t="shared" ref="G49:H49" si="8">SUM(G45:G48)</f>
        <v>1033829.3882880001</v>
      </c>
      <c r="H49" s="29">
        <f t="shared" si="8"/>
        <v>1228963.7220168507</v>
      </c>
    </row>
    <row r="50" spans="1:10" x14ac:dyDescent="0.25">
      <c r="A50" s="69"/>
      <c r="B50" s="33"/>
      <c r="C50" s="26"/>
      <c r="D50" s="26"/>
      <c r="E50" s="29"/>
    </row>
    <row r="51" spans="1:10" x14ac:dyDescent="0.25">
      <c r="A51" s="69" t="s">
        <v>62</v>
      </c>
      <c r="B51" s="5" t="s">
        <v>10</v>
      </c>
      <c r="C51" s="3"/>
      <c r="D51" s="3"/>
      <c r="E51" s="3"/>
      <c r="F51" s="5">
        <f>F58</f>
        <v>2017</v>
      </c>
      <c r="G51" s="5">
        <f>G58</f>
        <v>2018</v>
      </c>
      <c r="H51" s="5">
        <f>H58</f>
        <v>2019</v>
      </c>
      <c r="I51" s="26"/>
      <c r="J51" s="26"/>
    </row>
    <row r="52" spans="1:10" x14ac:dyDescent="0.25">
      <c r="A52" s="69"/>
      <c r="B52" t="s">
        <v>7</v>
      </c>
      <c r="F52" s="4">
        <f>E26</f>
        <v>6166666.666666667</v>
      </c>
      <c r="G52" s="4">
        <f>F54</f>
        <v>5380503.4666666668</v>
      </c>
      <c r="H52" s="4">
        <f t="shared" ref="H52" si="9">G54</f>
        <v>4346674.0783786662</v>
      </c>
      <c r="I52" s="11"/>
      <c r="J52" s="11"/>
    </row>
    <row r="53" spans="1:10" x14ac:dyDescent="0.25">
      <c r="A53" s="69"/>
      <c r="B53" s="3" t="s">
        <v>6</v>
      </c>
      <c r="C53" s="3"/>
      <c r="D53" s="3"/>
      <c r="E53" s="3"/>
      <c r="F53" s="2">
        <f>F65</f>
        <v>786163.20000000042</v>
      </c>
      <c r="G53" s="2">
        <f>MIN(F54,G65)</f>
        <v>1033829.3882880001</v>
      </c>
      <c r="H53" s="2">
        <f>MIN(G54,H65)</f>
        <v>4346674.0783786662</v>
      </c>
      <c r="I53" s="11"/>
      <c r="J53" s="11"/>
    </row>
    <row r="54" spans="1:10" x14ac:dyDescent="0.25">
      <c r="A54" s="69"/>
      <c r="B54" t="s">
        <v>8</v>
      </c>
      <c r="F54" s="4">
        <f>F52-F53</f>
        <v>5380503.4666666668</v>
      </c>
      <c r="G54" s="4">
        <f>G52-G53</f>
        <v>4346674.0783786662</v>
      </c>
      <c r="H54" s="4">
        <f t="shared" ref="H54" si="10">H52-H53</f>
        <v>0</v>
      </c>
      <c r="I54" s="11"/>
      <c r="J54" s="11"/>
    </row>
    <row r="55" spans="1:10" x14ac:dyDescent="0.25">
      <c r="A55" s="69"/>
      <c r="B55" s="3" t="s">
        <v>2</v>
      </c>
      <c r="C55" s="3"/>
      <c r="D55" s="3"/>
      <c r="E55" s="3"/>
      <c r="F55" s="7">
        <f>$E$22</f>
        <v>7.1999999999999995E-2</v>
      </c>
      <c r="G55" s="7">
        <f>$E$22</f>
        <v>7.1999999999999995E-2</v>
      </c>
      <c r="H55" s="7">
        <f>$E$22</f>
        <v>7.1999999999999995E-2</v>
      </c>
      <c r="I55" s="40"/>
      <c r="J55" s="40"/>
    </row>
    <row r="56" spans="1:10" x14ac:dyDescent="0.25">
      <c r="A56" s="69"/>
      <c r="B56" t="s">
        <v>11</v>
      </c>
      <c r="F56" s="4">
        <f>F52*F55</f>
        <v>444000</v>
      </c>
      <c r="G56" s="4">
        <f t="shared" ref="G56:H56" si="11">G52*G55</f>
        <v>387396.24959999998</v>
      </c>
      <c r="H56" s="4">
        <f t="shared" si="11"/>
        <v>312960.53364326392</v>
      </c>
      <c r="I56" s="11"/>
      <c r="J56" s="11"/>
    </row>
    <row r="57" spans="1:10" x14ac:dyDescent="0.25">
      <c r="A57" s="69"/>
      <c r="I57" s="10"/>
      <c r="J57" s="10"/>
    </row>
    <row r="58" spans="1:10" x14ac:dyDescent="0.25">
      <c r="A58" s="69" t="s">
        <v>63</v>
      </c>
      <c r="B58" s="5" t="s">
        <v>57</v>
      </c>
      <c r="C58" s="5"/>
      <c r="D58" s="5"/>
      <c r="E58" s="5"/>
      <c r="F58" s="44">
        <f>F1</f>
        <v>2017</v>
      </c>
      <c r="G58" s="5">
        <f>F58+1</f>
        <v>2018</v>
      </c>
      <c r="H58" s="5">
        <f t="shared" ref="H58" si="12">G58+1</f>
        <v>2019</v>
      </c>
      <c r="I58" s="26"/>
      <c r="J58" s="27"/>
    </row>
    <row r="59" spans="1:10" x14ac:dyDescent="0.25">
      <c r="A59" s="69"/>
      <c r="B59" s="33" t="s">
        <v>56</v>
      </c>
      <c r="F59" s="1">
        <f>F49</f>
        <v>786163.20000000042</v>
      </c>
      <c r="G59" s="1">
        <f t="shared" ref="G59:H59" si="13">G49</f>
        <v>1033829.3882880001</v>
      </c>
      <c r="H59" s="1">
        <f t="shared" si="13"/>
        <v>1228963.7220168507</v>
      </c>
      <c r="I59" s="38"/>
      <c r="J59" s="38"/>
    </row>
    <row r="60" spans="1:10" x14ac:dyDescent="0.25">
      <c r="A60" s="69"/>
      <c r="B60" s="33"/>
      <c r="C60" t="s">
        <v>31</v>
      </c>
      <c r="F60" s="1"/>
      <c r="G60" s="1"/>
      <c r="H60" s="1">
        <f>H7</f>
        <v>1656571.3920000009</v>
      </c>
      <c r="I60" s="38"/>
      <c r="J60" s="38"/>
    </row>
    <row r="61" spans="1:10" x14ac:dyDescent="0.25">
      <c r="A61" s="69"/>
      <c r="B61" s="33"/>
      <c r="C61" s="3" t="s">
        <v>47</v>
      </c>
      <c r="D61" s="3"/>
      <c r="E61" s="3"/>
      <c r="F61" s="24"/>
      <c r="G61" s="24"/>
      <c r="H61" s="24">
        <f>H6</f>
        <v>610315.77600000019</v>
      </c>
      <c r="I61" s="38"/>
      <c r="J61" s="38"/>
    </row>
    <row r="62" spans="1:10" x14ac:dyDescent="0.25">
      <c r="A62" s="69"/>
      <c r="B62" s="33"/>
      <c r="C62" t="s">
        <v>48</v>
      </c>
      <c r="F62" s="1"/>
      <c r="G62" s="1"/>
      <c r="H62" s="1">
        <f>SUM(H60:H61)</f>
        <v>2266887.168000001</v>
      </c>
      <c r="I62" s="38"/>
      <c r="J62" s="38"/>
    </row>
    <row r="63" spans="1:10" x14ac:dyDescent="0.25">
      <c r="A63" s="69"/>
      <c r="B63" s="33"/>
      <c r="C63" s="3" t="s">
        <v>49</v>
      </c>
      <c r="D63" s="3"/>
      <c r="E63" s="3"/>
      <c r="F63" s="24"/>
      <c r="G63" s="24"/>
      <c r="H63" s="57">
        <f>F41</f>
        <v>6.5</v>
      </c>
      <c r="I63" s="38"/>
      <c r="J63" s="38"/>
    </row>
    <row r="64" spans="1:10" x14ac:dyDescent="0.25">
      <c r="A64" s="69"/>
      <c r="B64" s="3" t="s">
        <v>13</v>
      </c>
      <c r="C64" s="3"/>
      <c r="D64" s="3"/>
      <c r="E64" s="3"/>
      <c r="F64" s="14">
        <v>0</v>
      </c>
      <c r="G64" s="14">
        <v>0</v>
      </c>
      <c r="H64" s="2">
        <f>H62*H63</f>
        <v>14734766.592000006</v>
      </c>
      <c r="I64" s="39"/>
      <c r="J64" s="11"/>
    </row>
    <row r="65" spans="1:15" x14ac:dyDescent="0.25">
      <c r="A65" s="69"/>
      <c r="B65" s="33" t="s">
        <v>56</v>
      </c>
      <c r="F65" s="4">
        <f>F59+F64</f>
        <v>786163.20000000042</v>
      </c>
      <c r="G65" s="4">
        <f t="shared" ref="G65:H65" si="14">G59+G64</f>
        <v>1033829.3882880001</v>
      </c>
      <c r="H65" s="4">
        <f t="shared" si="14"/>
        <v>15963730.314016856</v>
      </c>
      <c r="I65" s="11"/>
      <c r="J65" s="11"/>
    </row>
    <row r="66" spans="1:15" x14ac:dyDescent="0.25">
      <c r="A66" s="69"/>
      <c r="B66" s="15" t="s">
        <v>6</v>
      </c>
      <c r="C66" s="3"/>
      <c r="D66" s="3"/>
      <c r="E66" s="3"/>
      <c r="F66" s="2">
        <f>F53</f>
        <v>786163.20000000042</v>
      </c>
      <c r="G66" s="2">
        <f>G53</f>
        <v>1033829.3882880001</v>
      </c>
      <c r="H66" s="2">
        <f>H53</f>
        <v>4346674.0783786662</v>
      </c>
      <c r="I66" s="11"/>
      <c r="J66" s="11"/>
      <c r="L66" s="60">
        <f>M66-1</f>
        <v>2016</v>
      </c>
      <c r="M66" s="60">
        <f>F44</f>
        <v>2017</v>
      </c>
      <c r="N66" s="60">
        <f>M66+1</f>
        <v>2018</v>
      </c>
      <c r="O66" s="60">
        <f t="shared" ref="O66" si="15">N66+1</f>
        <v>2019</v>
      </c>
    </row>
    <row r="67" spans="1:15" x14ac:dyDescent="0.25">
      <c r="A67" s="69"/>
      <c r="B67" s="12" t="s">
        <v>1</v>
      </c>
      <c r="F67" s="4">
        <f>F65-F66</f>
        <v>0</v>
      </c>
      <c r="G67" s="4">
        <f t="shared" ref="G67:H67" si="16">G65-G66</f>
        <v>0</v>
      </c>
      <c r="H67" s="4">
        <f t="shared" si="16"/>
        <v>11617056.23563819</v>
      </c>
      <c r="I67" s="11"/>
      <c r="J67" s="11"/>
      <c r="L67" s="20" t="s">
        <v>19</v>
      </c>
      <c r="M67" s="21"/>
      <c r="N67" s="21"/>
      <c r="O67" s="22"/>
    </row>
    <row r="68" spans="1:15" x14ac:dyDescent="0.25">
      <c r="A68" s="69"/>
      <c r="B68" s="15" t="s">
        <v>14</v>
      </c>
      <c r="C68" s="3"/>
      <c r="D68" s="3"/>
      <c r="E68" s="19">
        <f>F42</f>
        <v>0.16</v>
      </c>
      <c r="F68" s="2">
        <f>F67/(1+$E$68)^(F58-$F$58+1)</f>
        <v>0</v>
      </c>
      <c r="G68" s="2">
        <f>G67/(1+$E$68)^(G58-$F$58+1)</f>
        <v>0</v>
      </c>
      <c r="H68" s="2">
        <f>H67/(1+$E$68)^(H58-$F$58+1)</f>
        <v>7442556.221323004</v>
      </c>
      <c r="I68" s="11"/>
      <c r="J68" s="11"/>
      <c r="L68" s="23">
        <f>-E28</f>
        <v>-8033333.333333333</v>
      </c>
      <c r="M68" s="24">
        <f>F67</f>
        <v>0</v>
      </c>
      <c r="N68" s="24">
        <f t="shared" ref="N68:O68" si="17">G67</f>
        <v>0</v>
      </c>
      <c r="O68" s="25">
        <f t="shared" si="17"/>
        <v>11617056.23563819</v>
      </c>
    </row>
    <row r="69" spans="1:15" x14ac:dyDescent="0.25">
      <c r="A69" s="69"/>
      <c r="B69" s="12" t="s">
        <v>15</v>
      </c>
      <c r="E69" s="6"/>
      <c r="F69" s="4">
        <f>SUM(F68:H68)</f>
        <v>7442556.221323004</v>
      </c>
      <c r="G69" s="4"/>
      <c r="H69" s="4"/>
      <c r="I69" s="11"/>
      <c r="J69" s="11"/>
      <c r="L69" s="11"/>
      <c r="M69" s="38"/>
      <c r="N69" s="38"/>
      <c r="O69" s="11"/>
    </row>
    <row r="70" spans="1:15" x14ac:dyDescent="0.25">
      <c r="A70" s="69"/>
      <c r="B70" s="15" t="s">
        <v>16</v>
      </c>
      <c r="C70" s="3"/>
      <c r="D70" s="3"/>
      <c r="E70" s="16"/>
      <c r="F70" s="2">
        <f>E28</f>
        <v>8033333.333333333</v>
      </c>
      <c r="G70" s="4"/>
      <c r="H70" s="4"/>
      <c r="I70" s="4"/>
      <c r="J70" s="4"/>
    </row>
    <row r="71" spans="1:15" x14ac:dyDescent="0.25">
      <c r="A71" s="69"/>
      <c r="B71" s="62" t="s">
        <v>17</v>
      </c>
      <c r="C71" s="63"/>
      <c r="D71" s="63"/>
      <c r="E71" s="64"/>
      <c r="F71" s="66">
        <f>F69-F70</f>
        <v>-590777.11201032903</v>
      </c>
      <c r="G71" s="4"/>
      <c r="H71" s="4"/>
      <c r="I71" s="4"/>
      <c r="J71" s="4"/>
    </row>
    <row r="72" spans="1:15" s="10" customFormat="1" x14ac:dyDescent="0.25">
      <c r="A72" s="70"/>
      <c r="B72" s="61"/>
      <c r="C72" s="26"/>
      <c r="D72" s="26"/>
      <c r="E72" s="71"/>
      <c r="F72" s="72"/>
      <c r="G72" s="11"/>
      <c r="H72" s="11"/>
      <c r="I72" s="11"/>
      <c r="J72" s="11"/>
    </row>
    <row r="73" spans="1:15" x14ac:dyDescent="0.25">
      <c r="A73" s="69"/>
      <c r="B73" s="62" t="s">
        <v>67</v>
      </c>
      <c r="C73" s="63"/>
      <c r="D73" s="63"/>
      <c r="E73" s="64"/>
      <c r="F73" s="65">
        <f>IRR(L68:O68,0.2)</f>
        <v>0.13083723822832916</v>
      </c>
      <c r="G73" s="33" t="s">
        <v>66</v>
      </c>
      <c r="I73" s="4"/>
      <c r="J73" s="4"/>
    </row>
    <row r="74" spans="1:15" x14ac:dyDescent="0.25">
      <c r="A74" s="69"/>
      <c r="F74" s="17"/>
    </row>
    <row r="75" spans="1:15" x14ac:dyDescent="0.25">
      <c r="A75" s="69" t="s">
        <v>64</v>
      </c>
      <c r="B75" s="67" t="s">
        <v>65</v>
      </c>
      <c r="C75" s="63"/>
      <c r="D75" s="63"/>
      <c r="E75" s="63"/>
      <c r="F75" s="68"/>
      <c r="I75" s="10"/>
      <c r="J75" s="41"/>
    </row>
    <row r="76" spans="1:15" x14ac:dyDescent="0.25">
      <c r="I76" s="10"/>
      <c r="J76" s="10"/>
    </row>
    <row r="77" spans="1:15" x14ac:dyDescent="0.25">
      <c r="E77" s="10"/>
      <c r="I77" s="10"/>
      <c r="J77" s="10"/>
    </row>
    <row r="86" spans="2:8" x14ac:dyDescent="0.25">
      <c r="B86" s="5" t="s">
        <v>9</v>
      </c>
      <c r="C86" s="5"/>
      <c r="D86" s="5"/>
      <c r="E86" s="5"/>
      <c r="F86" s="44">
        <f>F1</f>
        <v>2017</v>
      </c>
      <c r="G86" s="5">
        <f>F86+1</f>
        <v>2018</v>
      </c>
      <c r="H86" s="5">
        <f t="shared" ref="H86" si="18">G86+1</f>
        <v>2019</v>
      </c>
    </row>
    <row r="87" spans="2:8" x14ac:dyDescent="0.25">
      <c r="B87" t="s">
        <v>31</v>
      </c>
      <c r="C87" s="26"/>
      <c r="D87" s="26"/>
      <c r="E87" s="29"/>
      <c r="F87" s="29">
        <f>F7</f>
        <v>1218560.0000000005</v>
      </c>
      <c r="G87" s="29">
        <f>G7</f>
        <v>1480550.4000000004</v>
      </c>
      <c r="H87" s="29">
        <f>H7</f>
        <v>1656571.3920000009</v>
      </c>
    </row>
    <row r="88" spans="2:8" x14ac:dyDescent="0.25">
      <c r="B88" s="3" t="s">
        <v>32</v>
      </c>
      <c r="C88" s="5"/>
      <c r="D88" s="5"/>
      <c r="E88" s="30"/>
      <c r="F88" s="30">
        <f>F87*F35</f>
        <v>341196.80000000016</v>
      </c>
      <c r="G88" s="30">
        <f>G87*G35</f>
        <v>414554.11200000014</v>
      </c>
      <c r="H88" s="30">
        <f>H87*H35</f>
        <v>463839.98976000032</v>
      </c>
    </row>
    <row r="89" spans="2:8" x14ac:dyDescent="0.25">
      <c r="B89" t="s">
        <v>33</v>
      </c>
      <c r="C89" s="26"/>
      <c r="D89" s="26"/>
      <c r="E89" s="29"/>
      <c r="F89" s="29">
        <f>F87-F88</f>
        <v>877363.2000000003</v>
      </c>
      <c r="G89" s="29">
        <f t="shared" ref="G89:H89" si="19">G87-G88</f>
        <v>1065996.2880000002</v>
      </c>
      <c r="H89" s="29">
        <f t="shared" si="19"/>
        <v>1192731.4022400007</v>
      </c>
    </row>
    <row r="90" spans="2:8" x14ac:dyDescent="0.25">
      <c r="B90" t="s">
        <v>34</v>
      </c>
      <c r="C90" s="26"/>
      <c r="D90" s="26"/>
      <c r="E90" s="29"/>
      <c r="F90" s="29">
        <f>F6</f>
        <v>533120.00000000012</v>
      </c>
      <c r="G90" s="29">
        <f>G6</f>
        <v>575769.60000000021</v>
      </c>
      <c r="H90" s="29">
        <f>H6</f>
        <v>610315.77600000019</v>
      </c>
    </row>
    <row r="91" spans="2:8" x14ac:dyDescent="0.25">
      <c r="B91" s="27" t="s">
        <v>12</v>
      </c>
      <c r="C91" s="26"/>
      <c r="D91" s="26"/>
      <c r="E91" s="29"/>
      <c r="F91" s="29">
        <f>F2*-F36</f>
        <v>-228480.00000000003</v>
      </c>
      <c r="G91" s="29">
        <f>G2*-G36</f>
        <v>-246758.40000000005</v>
      </c>
      <c r="H91" s="29">
        <f>H2*-H36</f>
        <v>-261563.90400000007</v>
      </c>
    </row>
    <row r="92" spans="2:8" x14ac:dyDescent="0.25">
      <c r="B92" s="34" t="s">
        <v>30</v>
      </c>
      <c r="C92" s="5"/>
      <c r="D92" s="5"/>
      <c r="E92" s="36"/>
      <c r="F92" s="36">
        <f>F2*-F37</f>
        <v>-76160.000000000015</v>
      </c>
      <c r="G92" s="36">
        <f>G2*-G37</f>
        <v>-82252.800000000017</v>
      </c>
      <c r="H92" s="36">
        <f>H2*-H37</f>
        <v>-87187.968000000023</v>
      </c>
    </row>
    <row r="93" spans="2:8" x14ac:dyDescent="0.25">
      <c r="B93" s="33" t="s">
        <v>29</v>
      </c>
      <c r="C93" s="26"/>
      <c r="D93" s="26"/>
      <c r="E93" s="29"/>
      <c r="F93" s="29">
        <f>SUM(F89:F92)</f>
        <v>1105843.2000000004</v>
      </c>
      <c r="G93" s="29">
        <f t="shared" ref="G93:H93" si="20">SUM(G89:G92)</f>
        <v>1312754.6880000001</v>
      </c>
      <c r="H93" s="29">
        <f t="shared" si="20"/>
        <v>1454295.3062400005</v>
      </c>
    </row>
    <row r="94" spans="2:8" x14ac:dyDescent="0.25">
      <c r="B94" s="33"/>
      <c r="C94" s="26"/>
      <c r="D94" s="26"/>
      <c r="E94" s="2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exercises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Thomas</cp:lastModifiedBy>
  <dcterms:created xsi:type="dcterms:W3CDTF">2014-09-20T06:54:40Z</dcterms:created>
  <dcterms:modified xsi:type="dcterms:W3CDTF">2017-07-29T04:33:21Z</dcterms:modified>
</cp:coreProperties>
</file>