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Amoud\corp fin\"/>
    </mc:Choice>
  </mc:AlternateContent>
  <bookViews>
    <workbookView xWindow="0" yWindow="0" windowWidth="20490" windowHeight="7755"/>
  </bookViews>
  <sheets>
    <sheet name="PPT" sheetId="4" r:id="rId1"/>
    <sheet name="exercis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F12" i="2"/>
  <c r="G12" i="2"/>
  <c r="H12" i="2"/>
  <c r="I12" i="2"/>
  <c r="E12" i="2"/>
  <c r="F29" i="4"/>
  <c r="G29" i="4"/>
  <c r="H29" i="4"/>
  <c r="I29" i="4"/>
  <c r="E29" i="4"/>
  <c r="E24" i="2"/>
  <c r="E31" i="2" s="1"/>
  <c r="E41" i="4"/>
  <c r="E48" i="4" s="1"/>
  <c r="F45" i="4"/>
  <c r="G45" i="4"/>
  <c r="H45" i="4"/>
  <c r="I45" i="4"/>
  <c r="E45" i="4"/>
  <c r="E28" i="4"/>
  <c r="C19" i="4"/>
  <c r="D21" i="4" s="1"/>
  <c r="F27" i="4"/>
  <c r="G27" i="4" s="1"/>
  <c r="H27" i="4" s="1"/>
  <c r="I27" i="4" s="1"/>
  <c r="I41" i="4" s="1"/>
  <c r="I48" i="4" s="1"/>
  <c r="C6" i="4"/>
  <c r="D10" i="4" s="1"/>
  <c r="F10" i="2"/>
  <c r="G10" i="2" s="1"/>
  <c r="H10" i="2" s="1"/>
  <c r="I10" i="2" s="1"/>
  <c r="I24" i="2" s="1"/>
  <c r="I31" i="2" s="1"/>
  <c r="G41" i="4" l="1"/>
  <c r="G48" i="4" s="1"/>
  <c r="F41" i="4"/>
  <c r="F48" i="4" s="1"/>
  <c r="H41" i="4"/>
  <c r="H48" i="4" s="1"/>
  <c r="H24" i="2"/>
  <c r="H31" i="2" s="1"/>
  <c r="G24" i="2"/>
  <c r="G31" i="2" s="1"/>
  <c r="F24" i="2"/>
  <c r="F31" i="2" s="1"/>
  <c r="D8" i="4"/>
  <c r="D12" i="4" s="1"/>
  <c r="E42" i="4"/>
  <c r="E46" i="4" s="1"/>
  <c r="E30" i="4" s="1"/>
  <c r="D23" i="4"/>
  <c r="D25" i="4"/>
  <c r="D22" i="4"/>
  <c r="D9" i="4"/>
  <c r="D11" i="4" s="1"/>
  <c r="E11" i="2"/>
  <c r="K35" i="4" l="1"/>
  <c r="E37" i="4"/>
  <c r="D24" i="4"/>
  <c r="F28" i="4"/>
  <c r="E32" i="4"/>
  <c r="D4" i="2"/>
  <c r="D6" i="2" s="1"/>
  <c r="E25" i="2" s="1"/>
  <c r="E29" i="2" s="1"/>
  <c r="E13" i="2" s="1"/>
  <c r="I28" i="2"/>
  <c r="F28" i="2"/>
  <c r="E28" i="2"/>
  <c r="G28" i="2"/>
  <c r="H28" i="2"/>
  <c r="F11" i="2"/>
  <c r="D8" i="2" l="1"/>
  <c r="E20" i="2" s="1"/>
  <c r="E43" i="4"/>
  <c r="G28" i="4"/>
  <c r="E15" i="2"/>
  <c r="G11" i="2"/>
  <c r="K18" i="2" l="1"/>
  <c r="H28" i="4"/>
  <c r="E33" i="4"/>
  <c r="E34" i="4" s="1"/>
  <c r="E44" i="4"/>
  <c r="E26" i="2"/>
  <c r="H11" i="2"/>
  <c r="F42" i="4" l="1"/>
  <c r="E35" i="4"/>
  <c r="L35" i="4"/>
  <c r="I28" i="4"/>
  <c r="E27" i="2"/>
  <c r="E16" i="2"/>
  <c r="E17" i="2" s="1"/>
  <c r="I11" i="2"/>
  <c r="I14" i="2" s="1"/>
  <c r="I31" i="4" l="1"/>
  <c r="F46" i="4"/>
  <c r="F30" i="4" s="1"/>
  <c r="F32" i="4" s="1"/>
  <c r="L18" i="2"/>
  <c r="E18" i="2"/>
  <c r="F25" i="2"/>
  <c r="F43" i="4" l="1"/>
  <c r="F29" i="2"/>
  <c r="F13" i="2" s="1"/>
  <c r="F15" i="2" s="1"/>
  <c r="F33" i="4" l="1"/>
  <c r="F34" i="4" s="1"/>
  <c r="F44" i="4"/>
  <c r="F26" i="2"/>
  <c r="G42" i="4" l="1"/>
  <c r="M35" i="4"/>
  <c r="F35" i="4"/>
  <c r="F16" i="2"/>
  <c r="F17" i="2" s="1"/>
  <c r="F27" i="2"/>
  <c r="G46" i="4" l="1"/>
  <c r="G30" i="4" s="1"/>
  <c r="G32" i="4" s="1"/>
  <c r="G25" i="2"/>
  <c r="M18" i="2"/>
  <c r="F18" i="2"/>
  <c r="G43" i="4" l="1"/>
  <c r="G29" i="2"/>
  <c r="G13" i="2" s="1"/>
  <c r="G15" i="2" s="1"/>
  <c r="G33" i="4" l="1"/>
  <c r="G34" i="4" s="1"/>
  <c r="G44" i="4"/>
  <c r="G26" i="2"/>
  <c r="H42" i="4" l="1"/>
  <c r="N35" i="4"/>
  <c r="G35" i="4"/>
  <c r="G16" i="2"/>
  <c r="G17" i="2" s="1"/>
  <c r="G27" i="2"/>
  <c r="H46" i="4" l="1"/>
  <c r="H30" i="4" s="1"/>
  <c r="H32" i="4" s="1"/>
  <c r="H25" i="2"/>
  <c r="G18" i="2"/>
  <c r="N18" i="2"/>
  <c r="H43" i="4" l="1"/>
  <c r="H29" i="2"/>
  <c r="H13" i="2" s="1"/>
  <c r="H15" i="2" s="1"/>
  <c r="H33" i="4" l="1"/>
  <c r="H34" i="4" s="1"/>
  <c r="H44" i="4"/>
  <c r="H26" i="2"/>
  <c r="I42" i="4" l="1"/>
  <c r="H35" i="4"/>
  <c r="O35" i="4"/>
  <c r="H16" i="2"/>
  <c r="H17" i="2" s="1"/>
  <c r="H27" i="2"/>
  <c r="I46" i="4" l="1"/>
  <c r="I30" i="4" s="1"/>
  <c r="I32" i="4" s="1"/>
  <c r="I25" i="2"/>
  <c r="I29" i="2" s="1"/>
  <c r="I13" i="2" s="1"/>
  <c r="I15" i="2" s="1"/>
  <c r="I26" i="2" s="1"/>
  <c r="H18" i="2"/>
  <c r="O18" i="2"/>
  <c r="I43" i="4" l="1"/>
  <c r="I27" i="2"/>
  <c r="I16" i="2"/>
  <c r="I17" i="2" s="1"/>
  <c r="I33" i="4" l="1"/>
  <c r="I34" i="4" s="1"/>
  <c r="I44" i="4"/>
  <c r="P18" i="2"/>
  <c r="E22" i="2" s="1"/>
  <c r="I18" i="2"/>
  <c r="E19" i="2" s="1"/>
  <c r="E21" i="2" s="1"/>
  <c r="I35" i="4" l="1"/>
  <c r="E36" i="4" s="1"/>
  <c r="E38" i="4" s="1"/>
  <c r="P35" i="4"/>
  <c r="E39" i="4" s="1"/>
</calcChain>
</file>

<file path=xl/sharedStrings.xml><?xml version="1.0" encoding="utf-8"?>
<sst xmlns="http://schemas.openxmlformats.org/spreadsheetml/2006/main" count="81" uniqueCount="40">
  <si>
    <t>DSC</t>
  </si>
  <si>
    <t>ROE</t>
  </si>
  <si>
    <t>Equity</t>
  </si>
  <si>
    <t>Net cash flow</t>
  </si>
  <si>
    <t>Interest payment</t>
  </si>
  <si>
    <t>Interest rate</t>
  </si>
  <si>
    <t>Debt</t>
  </si>
  <si>
    <t>Leverage</t>
  </si>
  <si>
    <t>Price</t>
  </si>
  <si>
    <t>Operating cash flow</t>
  </si>
  <si>
    <t>LBO Analysis</t>
  </si>
  <si>
    <t>Interest payment allowed</t>
  </si>
  <si>
    <t>Max loan amount</t>
  </si>
  <si>
    <t>Total investment</t>
  </si>
  <si>
    <t>Equity required</t>
  </si>
  <si>
    <t>Debt payment</t>
  </si>
  <si>
    <t>Operating cash flow change</t>
  </si>
  <si>
    <t>Beginning balance</t>
  </si>
  <si>
    <t>Ending balance</t>
  </si>
  <si>
    <t>Cash Flow Analysis</t>
  </si>
  <si>
    <t>Debt Schedule</t>
  </si>
  <si>
    <t>Interest expense (beginning balance)</t>
  </si>
  <si>
    <t>Capital expenditures</t>
  </si>
  <si>
    <t>Divestiture</t>
  </si>
  <si>
    <t>Exit operating cash flow multiple</t>
  </si>
  <si>
    <t>PV cash flows</t>
  </si>
  <si>
    <t>Total PV cash flows</t>
  </si>
  <si>
    <t>Investment</t>
  </si>
  <si>
    <t>NPV</t>
  </si>
  <si>
    <t>IRR</t>
  </si>
  <si>
    <t>Cash available for debt paydown</t>
  </si>
  <si>
    <t>Assumptions</t>
  </si>
  <si>
    <r>
      <t xml:space="preserve">Operating cash flow, </t>
    </r>
    <r>
      <rPr>
        <b/>
        <sz val="11"/>
        <color theme="1"/>
        <rFont val="Calibri"/>
        <family val="2"/>
        <scheme val="minor"/>
      </rPr>
      <t>5% annual growth</t>
    </r>
  </si>
  <si>
    <r>
      <t xml:space="preserve">Divestiture, </t>
    </r>
    <r>
      <rPr>
        <b/>
        <sz val="11"/>
        <color theme="1"/>
        <rFont val="Calibri"/>
        <family val="2"/>
        <scheme val="minor"/>
      </rPr>
      <t>7.0x final year operating cash flow</t>
    </r>
  </si>
  <si>
    <r>
      <t xml:space="preserve">Interest payment </t>
    </r>
    <r>
      <rPr>
        <b/>
        <sz val="11"/>
        <color theme="1"/>
        <rFont val="Calibri"/>
        <family val="2"/>
        <scheme val="minor"/>
      </rPr>
      <t>(use beginning debt balance)</t>
    </r>
  </si>
  <si>
    <t>Capital expenditures as % of purchase price</t>
  </si>
  <si>
    <r>
      <t xml:space="preserve">Capital expenditures, </t>
    </r>
    <r>
      <rPr>
        <b/>
        <sz val="11"/>
        <color theme="1"/>
        <rFont val="Calibri"/>
        <family val="2"/>
        <scheme val="minor"/>
      </rPr>
      <t>3% purchase price</t>
    </r>
  </si>
  <si>
    <t>Annual capital expenditures</t>
  </si>
  <si>
    <t>NPV analysis discount rate</t>
  </si>
  <si>
    <t>CELLS USED FOR IRR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</si>
</sst>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2" applyNumberFormat="1" applyFont="1"/>
    <xf numFmtId="164" fontId="4" fillId="0" borderId="0" xfId="2" applyNumberFormat="1" applyFont="1"/>
    <xf numFmtId="43" fontId="0" fillId="0" borderId="0" xfId="1" applyNumberFormat="1" applyFont="1"/>
    <xf numFmtId="10" fontId="0" fillId="0" borderId="0" xfId="3" applyNumberFormat="1" applyFont="1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10" fontId="4" fillId="0" borderId="0" xfId="0" applyNumberFormat="1" applyFont="1"/>
    <xf numFmtId="164" fontId="4" fillId="0" borderId="0" xfId="0" applyNumberFormat="1" applyFont="1"/>
    <xf numFmtId="0" fontId="3" fillId="0" borderId="1" xfId="0" applyFont="1" applyBorder="1"/>
    <xf numFmtId="9" fontId="4" fillId="0" borderId="0" xfId="0" applyNumberFormat="1" applyFont="1"/>
    <xf numFmtId="10" fontId="2" fillId="0" borderId="0" xfId="0" applyNumberFormat="1" applyFont="1"/>
    <xf numFmtId="43" fontId="4" fillId="0" borderId="1" xfId="1" applyNumberFormat="1" applyFont="1" applyBorder="1"/>
    <xf numFmtId="10" fontId="0" fillId="0" borderId="1" xfId="0" applyNumberFormat="1" applyBorder="1"/>
    <xf numFmtId="0" fontId="3" fillId="0" borderId="0" xfId="0" applyFont="1"/>
    <xf numFmtId="164" fontId="3" fillId="0" borderId="0" xfId="0" applyNumberFormat="1" applyFont="1"/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165" fontId="4" fillId="0" borderId="0" xfId="1" applyNumberFormat="1" applyFont="1"/>
    <xf numFmtId="164" fontId="4" fillId="0" borderId="1" xfId="0" applyNumberFormat="1" applyFont="1" applyBorder="1"/>
    <xf numFmtId="0" fontId="0" fillId="0" borderId="1" xfId="0" applyFill="1" applyBorder="1"/>
    <xf numFmtId="9" fontId="4" fillId="0" borderId="1" xfId="0" applyNumberFormat="1" applyFont="1" applyBorder="1"/>
    <xf numFmtId="166" fontId="0" fillId="0" borderId="0" xfId="3" applyNumberFormat="1" applyFont="1"/>
    <xf numFmtId="166" fontId="4" fillId="0" borderId="1" xfId="0" applyNumberFormat="1" applyFont="1" applyBorder="1"/>
    <xf numFmtId="164" fontId="4" fillId="2" borderId="0" xfId="0" applyNumberFormat="1" applyFont="1" applyFill="1"/>
    <xf numFmtId="166" fontId="4" fillId="0" borderId="0" xfId="0" applyNumberFormat="1" applyFont="1" applyBorder="1"/>
    <xf numFmtId="166" fontId="5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164" fontId="0" fillId="0" borderId="5" xfId="2" applyNumberFormat="1" applyFont="1" applyBorder="1"/>
    <xf numFmtId="164" fontId="0" fillId="0" borderId="1" xfId="2" applyNumberFormat="1" applyFont="1" applyBorder="1"/>
    <xf numFmtId="164" fontId="0" fillId="0" borderId="6" xfId="2" applyNumberFormat="1" applyFont="1" applyBorder="1"/>
    <xf numFmtId="10" fontId="4" fillId="0" borderId="1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workbookViewId="0">
      <selection activeCell="F2" sqref="F2"/>
    </sheetView>
  </sheetViews>
  <sheetFormatPr defaultRowHeight="15" x14ac:dyDescent="0.25"/>
  <cols>
    <col min="1" max="1" width="2.7109375" customWidth="1"/>
    <col min="2" max="2" width="20.7109375" customWidth="1"/>
    <col min="3" max="3" width="15.7109375" customWidth="1"/>
    <col min="4" max="4" width="12.7109375" customWidth="1"/>
    <col min="5" max="9" width="14.7109375" customWidth="1"/>
    <col min="10" max="10" width="12.7109375" customWidth="1"/>
    <col min="11" max="16" width="14.7109375" customWidth="1"/>
  </cols>
  <sheetData>
    <row r="1" spans="1:4" x14ac:dyDescent="0.25">
      <c r="A1" s="10" t="s">
        <v>10</v>
      </c>
      <c r="B1" s="10"/>
      <c r="C1" s="10"/>
      <c r="D1" s="10"/>
    </row>
    <row r="2" spans="1:4" x14ac:dyDescent="0.25">
      <c r="A2" t="s">
        <v>9</v>
      </c>
      <c r="D2" s="2">
        <v>10000000</v>
      </c>
    </row>
    <row r="3" spans="1:4" x14ac:dyDescent="0.25">
      <c r="A3" t="s">
        <v>6</v>
      </c>
    </row>
    <row r="4" spans="1:4" x14ac:dyDescent="0.25">
      <c r="B4" t="s">
        <v>8</v>
      </c>
      <c r="C4" s="9">
        <v>200000000</v>
      </c>
    </row>
    <row r="5" spans="1:4" x14ac:dyDescent="0.25">
      <c r="B5" t="s">
        <v>7</v>
      </c>
      <c r="C5" s="11">
        <v>0.6</v>
      </c>
    </row>
    <row r="6" spans="1:4" x14ac:dyDescent="0.25">
      <c r="B6" t="s">
        <v>6</v>
      </c>
      <c r="C6" s="7">
        <f>C4*C5</f>
        <v>120000000</v>
      </c>
    </row>
    <row r="7" spans="1:4" x14ac:dyDescent="0.25">
      <c r="B7" t="s">
        <v>5</v>
      </c>
      <c r="C7" s="11">
        <v>0.08</v>
      </c>
    </row>
    <row r="8" spans="1:4" x14ac:dyDescent="0.25">
      <c r="A8" s="6"/>
      <c r="B8" s="6" t="s">
        <v>4</v>
      </c>
      <c r="C8" s="6"/>
      <c r="D8" s="5">
        <f>C6*C7</f>
        <v>9600000</v>
      </c>
    </row>
    <row r="9" spans="1:4" x14ac:dyDescent="0.25">
      <c r="A9" t="s">
        <v>3</v>
      </c>
      <c r="D9" s="7">
        <f>D2-D8</f>
        <v>400000</v>
      </c>
    </row>
    <row r="10" spans="1:4" x14ac:dyDescent="0.25">
      <c r="A10" s="6" t="s">
        <v>2</v>
      </c>
      <c r="B10" s="6"/>
      <c r="C10" s="6"/>
      <c r="D10" s="5">
        <f>C4-C6</f>
        <v>80000000</v>
      </c>
    </row>
    <row r="11" spans="1:4" x14ac:dyDescent="0.25">
      <c r="A11" t="s">
        <v>1</v>
      </c>
      <c r="D11" s="4">
        <f>D9/D10</f>
        <v>5.0000000000000001E-3</v>
      </c>
    </row>
    <row r="12" spans="1:4" x14ac:dyDescent="0.25">
      <c r="A12" t="s">
        <v>0</v>
      </c>
      <c r="D12" s="3">
        <f>D2/D8</f>
        <v>1.0416666666666667</v>
      </c>
    </row>
    <row r="14" spans="1:4" x14ac:dyDescent="0.25">
      <c r="A14" s="10" t="s">
        <v>10</v>
      </c>
      <c r="B14" s="10"/>
      <c r="C14" s="10"/>
      <c r="D14" s="10"/>
    </row>
    <row r="15" spans="1:4" x14ac:dyDescent="0.25">
      <c r="A15" t="s">
        <v>9</v>
      </c>
      <c r="D15" s="2">
        <v>10000000</v>
      </c>
    </row>
    <row r="16" spans="1:4" x14ac:dyDescent="0.25">
      <c r="A16" t="s">
        <v>6</v>
      </c>
    </row>
    <row r="17" spans="1:9" x14ac:dyDescent="0.25">
      <c r="B17" t="s">
        <v>8</v>
      </c>
      <c r="C17" s="26">
        <v>80000000</v>
      </c>
    </row>
    <row r="18" spans="1:9" x14ac:dyDescent="0.25">
      <c r="B18" t="s">
        <v>7</v>
      </c>
      <c r="C18" s="11">
        <v>0.6</v>
      </c>
      <c r="F18" s="8"/>
      <c r="G18" s="12"/>
    </row>
    <row r="19" spans="1:9" x14ac:dyDescent="0.25">
      <c r="B19" t="s">
        <v>6</v>
      </c>
      <c r="C19" s="7">
        <f>C17*C18</f>
        <v>48000000</v>
      </c>
    </row>
    <row r="20" spans="1:9" x14ac:dyDescent="0.25">
      <c r="B20" t="s">
        <v>5</v>
      </c>
      <c r="C20" s="8">
        <v>0.08</v>
      </c>
    </row>
    <row r="21" spans="1:9" x14ac:dyDescent="0.25">
      <c r="A21" s="6"/>
      <c r="B21" s="6" t="s">
        <v>4</v>
      </c>
      <c r="C21" s="6"/>
      <c r="D21" s="5">
        <f>C19*C20</f>
        <v>3840000</v>
      </c>
    </row>
    <row r="22" spans="1:9" x14ac:dyDescent="0.25">
      <c r="A22" t="s">
        <v>3</v>
      </c>
      <c r="D22" s="7">
        <f>D15-D21</f>
        <v>6160000</v>
      </c>
    </row>
    <row r="23" spans="1:9" x14ac:dyDescent="0.25">
      <c r="A23" s="6" t="s">
        <v>2</v>
      </c>
      <c r="B23" s="6"/>
      <c r="C23" s="6"/>
      <c r="D23" s="5">
        <f>C17-C19</f>
        <v>32000000</v>
      </c>
    </row>
    <row r="24" spans="1:9" x14ac:dyDescent="0.25">
      <c r="A24" t="s">
        <v>1</v>
      </c>
      <c r="D24" s="4">
        <f>D22/D23</f>
        <v>0.1925</v>
      </c>
    </row>
    <row r="25" spans="1:9" x14ac:dyDescent="0.25">
      <c r="A25" t="s">
        <v>0</v>
      </c>
      <c r="D25" s="3">
        <f>D15/D21</f>
        <v>2.6041666666666665</v>
      </c>
    </row>
    <row r="27" spans="1:9" x14ac:dyDescent="0.25">
      <c r="A27" s="10" t="s">
        <v>19</v>
      </c>
      <c r="B27" s="10"/>
      <c r="C27" s="10"/>
      <c r="D27" s="10"/>
      <c r="E27" s="10">
        <v>2017</v>
      </c>
      <c r="F27" s="10">
        <f>E27+1</f>
        <v>2018</v>
      </c>
      <c r="G27" s="10">
        <f t="shared" ref="G27:I27" si="0">F27+1</f>
        <v>2019</v>
      </c>
      <c r="H27" s="10">
        <f t="shared" si="0"/>
        <v>2020</v>
      </c>
      <c r="I27" s="10">
        <f t="shared" si="0"/>
        <v>2021</v>
      </c>
    </row>
    <row r="28" spans="1:9" x14ac:dyDescent="0.25">
      <c r="A28" t="s">
        <v>32</v>
      </c>
      <c r="E28" s="1">
        <f>D15*(1+E49)</f>
        <v>10500000</v>
      </c>
      <c r="F28" s="1">
        <f>E28*(1+F49)</f>
        <v>11025000</v>
      </c>
      <c r="G28" s="1">
        <f>F28*(1+G49)</f>
        <v>11576250</v>
      </c>
      <c r="H28" s="1">
        <f>G28*(1+H49)</f>
        <v>12155062.5</v>
      </c>
      <c r="I28" s="1">
        <f>H28*(1+I49)</f>
        <v>12762815.625</v>
      </c>
    </row>
    <row r="29" spans="1:9" x14ac:dyDescent="0.25">
      <c r="A29" t="s">
        <v>36</v>
      </c>
      <c r="E29" s="18">
        <f>$C$17*E50</f>
        <v>2400000</v>
      </c>
      <c r="F29" s="18">
        <f t="shared" ref="F29:I29" si="1">$C$17*F50</f>
        <v>2400000</v>
      </c>
      <c r="G29" s="18">
        <f t="shared" si="1"/>
        <v>2400000</v>
      </c>
      <c r="H29" s="18">
        <f t="shared" si="1"/>
        <v>2400000</v>
      </c>
      <c r="I29" s="18">
        <f t="shared" si="1"/>
        <v>2400000</v>
      </c>
    </row>
    <row r="30" spans="1:9" x14ac:dyDescent="0.25">
      <c r="A30" s="17" t="s">
        <v>34</v>
      </c>
      <c r="B30" s="17"/>
      <c r="C30" s="17"/>
      <c r="D30" s="17"/>
      <c r="E30" s="18">
        <f>E46</f>
        <v>3840000</v>
      </c>
      <c r="F30" s="18">
        <f t="shared" ref="F30:I30" si="2">F46</f>
        <v>3499200</v>
      </c>
      <c r="G30" s="18">
        <f t="shared" si="2"/>
        <v>3089136</v>
      </c>
      <c r="H30" s="18">
        <f t="shared" si="2"/>
        <v>2602166.88</v>
      </c>
      <c r="I30" s="18">
        <f t="shared" si="2"/>
        <v>2029935.2304</v>
      </c>
    </row>
    <row r="31" spans="1:9" x14ac:dyDescent="0.25">
      <c r="A31" s="6" t="s">
        <v>33</v>
      </c>
      <c r="B31" s="6"/>
      <c r="C31" s="6"/>
      <c r="D31" s="6"/>
      <c r="E31" s="21">
        <v>0</v>
      </c>
      <c r="F31" s="21">
        <v>0</v>
      </c>
      <c r="G31" s="21">
        <v>0</v>
      </c>
      <c r="H31" s="21">
        <v>0</v>
      </c>
      <c r="I31" s="5">
        <f>I28*I51</f>
        <v>89339709.375</v>
      </c>
    </row>
    <row r="32" spans="1:9" x14ac:dyDescent="0.25">
      <c r="A32" s="19" t="s">
        <v>30</v>
      </c>
      <c r="E32" s="7">
        <f>E28-E29-E30+E31</f>
        <v>4260000</v>
      </c>
      <c r="F32" s="7">
        <f t="shared" ref="F32:I32" si="3">F28-F29-F30+F31</f>
        <v>5125800</v>
      </c>
      <c r="G32" s="7">
        <f t="shared" si="3"/>
        <v>6087114</v>
      </c>
      <c r="H32" s="7">
        <f t="shared" si="3"/>
        <v>7152895.6200000001</v>
      </c>
      <c r="I32" s="7">
        <f t="shared" si="3"/>
        <v>97672589.769600004</v>
      </c>
    </row>
    <row r="33" spans="1:16" x14ac:dyDescent="0.25">
      <c r="A33" s="22" t="s">
        <v>15</v>
      </c>
      <c r="B33" s="6"/>
      <c r="C33" s="6"/>
      <c r="D33" s="6"/>
      <c r="E33" s="5">
        <f>E43</f>
        <v>4260000</v>
      </c>
      <c r="F33" s="5">
        <f t="shared" ref="F33:I33" si="4">F43</f>
        <v>5125800</v>
      </c>
      <c r="G33" s="5">
        <f t="shared" si="4"/>
        <v>6087114</v>
      </c>
      <c r="H33" s="5">
        <f t="shared" si="4"/>
        <v>7152895.6200000001</v>
      </c>
      <c r="I33" s="5">
        <f t="shared" si="4"/>
        <v>25374190.379999999</v>
      </c>
    </row>
    <row r="34" spans="1:16" x14ac:dyDescent="0.25">
      <c r="A34" s="19" t="s">
        <v>3</v>
      </c>
      <c r="E34" s="7">
        <f>E32-E33</f>
        <v>0</v>
      </c>
      <c r="F34" s="7">
        <f t="shared" ref="F34:I34" si="5">F32-F33</f>
        <v>0</v>
      </c>
      <c r="G34" s="7">
        <f t="shared" si="5"/>
        <v>0</v>
      </c>
      <c r="H34" s="7">
        <f t="shared" si="5"/>
        <v>0</v>
      </c>
      <c r="I34" s="7">
        <f t="shared" si="5"/>
        <v>72298399.389600009</v>
      </c>
      <c r="K34" s="29" t="s">
        <v>39</v>
      </c>
      <c r="L34" s="30"/>
      <c r="M34" s="30"/>
      <c r="N34" s="30"/>
      <c r="O34" s="30"/>
      <c r="P34" s="31"/>
    </row>
    <row r="35" spans="1:16" x14ac:dyDescent="0.25">
      <c r="A35" s="22" t="s">
        <v>25</v>
      </c>
      <c r="B35" s="6"/>
      <c r="C35" s="6"/>
      <c r="D35" s="25">
        <v>0.15</v>
      </c>
      <c r="E35" s="5">
        <f>E34/(1+$D$35)^(E27-$E$27+1)</f>
        <v>0</v>
      </c>
      <c r="F35" s="5">
        <f t="shared" ref="F35:I35" si="6">F34/(1+$D$35)^(F27-$E$27+1)</f>
        <v>0</v>
      </c>
      <c r="G35" s="5">
        <f t="shared" si="6"/>
        <v>0</v>
      </c>
      <c r="H35" s="5">
        <f t="shared" si="6"/>
        <v>0</v>
      </c>
      <c r="I35" s="5">
        <f t="shared" si="6"/>
        <v>35945082.175813206</v>
      </c>
      <c r="K35" s="32">
        <f>-D23</f>
        <v>-32000000</v>
      </c>
      <c r="L35" s="33">
        <f>E34</f>
        <v>0</v>
      </c>
      <c r="M35" s="33">
        <f t="shared" ref="M35:P35" si="7">F34</f>
        <v>0</v>
      </c>
      <c r="N35" s="33">
        <f t="shared" si="7"/>
        <v>0</v>
      </c>
      <c r="O35" s="33">
        <f t="shared" si="7"/>
        <v>0</v>
      </c>
      <c r="P35" s="34">
        <f t="shared" si="7"/>
        <v>72298399.389600009</v>
      </c>
    </row>
    <row r="36" spans="1:16" x14ac:dyDescent="0.25">
      <c r="A36" s="19" t="s">
        <v>26</v>
      </c>
      <c r="D36" s="11"/>
      <c r="E36" s="7">
        <f>SUM(E35:I35)</f>
        <v>35945082.175813206</v>
      </c>
      <c r="F36" s="7"/>
      <c r="G36" s="7"/>
      <c r="H36" s="7"/>
      <c r="I36" s="7"/>
    </row>
    <row r="37" spans="1:16" x14ac:dyDescent="0.25">
      <c r="A37" s="22" t="s">
        <v>27</v>
      </c>
      <c r="B37" s="6"/>
      <c r="C37" s="6"/>
      <c r="D37" s="23"/>
      <c r="E37" s="5">
        <f>D23</f>
        <v>32000000</v>
      </c>
      <c r="F37" s="7"/>
      <c r="G37" s="7"/>
      <c r="H37" s="7"/>
      <c r="I37" s="7"/>
    </row>
    <row r="38" spans="1:16" x14ac:dyDescent="0.25">
      <c r="A38" s="19" t="s">
        <v>28</v>
      </c>
      <c r="D38" s="11"/>
      <c r="E38" s="7">
        <f>E36-E37</f>
        <v>3945082.1758132055</v>
      </c>
      <c r="F38" s="7"/>
      <c r="G38" s="7"/>
      <c r="H38" s="7"/>
      <c r="I38" s="7"/>
    </row>
    <row r="39" spans="1:16" x14ac:dyDescent="0.25">
      <c r="A39" s="19" t="s">
        <v>29</v>
      </c>
      <c r="D39" s="11"/>
      <c r="E39" s="24">
        <f>IRR(K35:P35,0.2)</f>
        <v>0.17705224731221891</v>
      </c>
      <c r="F39" s="7"/>
      <c r="G39" s="7"/>
      <c r="H39" s="7"/>
      <c r="I39" s="7"/>
    </row>
    <row r="41" spans="1:16" x14ac:dyDescent="0.25">
      <c r="A41" s="10" t="s">
        <v>20</v>
      </c>
      <c r="B41" s="6"/>
      <c r="C41" s="6"/>
      <c r="D41" s="6"/>
      <c r="E41" s="10">
        <f>E27</f>
        <v>2017</v>
      </c>
      <c r="F41" s="10">
        <f t="shared" ref="F41:I41" si="8">F27</f>
        <v>2018</v>
      </c>
      <c r="G41" s="10">
        <f t="shared" si="8"/>
        <v>2019</v>
      </c>
      <c r="H41" s="10">
        <f t="shared" si="8"/>
        <v>2020</v>
      </c>
      <c r="I41" s="10">
        <f t="shared" si="8"/>
        <v>2021</v>
      </c>
    </row>
    <row r="42" spans="1:16" x14ac:dyDescent="0.25">
      <c r="A42" t="s">
        <v>17</v>
      </c>
      <c r="E42" s="7">
        <f>C19</f>
        <v>48000000</v>
      </c>
      <c r="F42" s="7">
        <f>E44</f>
        <v>43740000</v>
      </c>
      <c r="G42" s="7">
        <f t="shared" ref="G42:I42" si="9">F44</f>
        <v>38614200</v>
      </c>
      <c r="H42" s="7">
        <f t="shared" si="9"/>
        <v>32527086</v>
      </c>
      <c r="I42" s="7">
        <f t="shared" si="9"/>
        <v>25374190.379999999</v>
      </c>
    </row>
    <row r="43" spans="1:16" x14ac:dyDescent="0.25">
      <c r="A43" s="6" t="s">
        <v>15</v>
      </c>
      <c r="B43" s="6"/>
      <c r="C43" s="6"/>
      <c r="D43" s="6"/>
      <c r="E43" s="5">
        <f>E32</f>
        <v>4260000</v>
      </c>
      <c r="F43" s="5">
        <f>MIN(E44,F32)</f>
        <v>5125800</v>
      </c>
      <c r="G43" s="5">
        <f t="shared" ref="G43:I43" si="10">MIN(F44,G32)</f>
        <v>6087114</v>
      </c>
      <c r="H43" s="5">
        <f t="shared" si="10"/>
        <v>7152895.6200000001</v>
      </c>
      <c r="I43" s="5">
        <f t="shared" si="10"/>
        <v>25374190.379999999</v>
      </c>
    </row>
    <row r="44" spans="1:16" x14ac:dyDescent="0.25">
      <c r="A44" t="s">
        <v>18</v>
      </c>
      <c r="E44" s="7">
        <f>E42-E43</f>
        <v>43740000</v>
      </c>
      <c r="F44" s="7">
        <f>F42-F43</f>
        <v>38614200</v>
      </c>
      <c r="G44" s="7">
        <f t="shared" ref="G44:I44" si="11">G42-G43</f>
        <v>32527086</v>
      </c>
      <c r="H44" s="7">
        <f t="shared" si="11"/>
        <v>25374190.379999999</v>
      </c>
      <c r="I44" s="7">
        <f t="shared" si="11"/>
        <v>0</v>
      </c>
    </row>
    <row r="45" spans="1:16" x14ac:dyDescent="0.25">
      <c r="A45" s="6" t="s">
        <v>5</v>
      </c>
      <c r="B45" s="6"/>
      <c r="C45" s="6"/>
      <c r="D45" s="6"/>
      <c r="E45" s="14">
        <f>$C$20</f>
        <v>0.08</v>
      </c>
      <c r="F45" s="14">
        <f t="shared" ref="F45:I45" si="12">$C$20</f>
        <v>0.08</v>
      </c>
      <c r="G45" s="14">
        <f t="shared" si="12"/>
        <v>0.08</v>
      </c>
      <c r="H45" s="14">
        <f t="shared" si="12"/>
        <v>0.08</v>
      </c>
      <c r="I45" s="14">
        <f t="shared" si="12"/>
        <v>0.08</v>
      </c>
    </row>
    <row r="46" spans="1:16" x14ac:dyDescent="0.25">
      <c r="A46" t="s">
        <v>21</v>
      </c>
      <c r="E46" s="7">
        <f>E42*E45</f>
        <v>3840000</v>
      </c>
      <c r="F46" s="7">
        <f t="shared" ref="F46:I46" si="13">F42*F45</f>
        <v>3499200</v>
      </c>
      <c r="G46" s="7">
        <f t="shared" si="13"/>
        <v>3089136</v>
      </c>
      <c r="H46" s="7">
        <f t="shared" si="13"/>
        <v>2602166.88</v>
      </c>
      <c r="I46" s="7">
        <f t="shared" si="13"/>
        <v>2029935.2304</v>
      </c>
    </row>
    <row r="48" spans="1:16" x14ac:dyDescent="0.25">
      <c r="A48" s="10" t="s">
        <v>31</v>
      </c>
      <c r="B48" s="6"/>
      <c r="C48" s="6"/>
      <c r="D48" s="6"/>
      <c r="E48" s="10">
        <f>E41</f>
        <v>2017</v>
      </c>
      <c r="F48" s="10">
        <f t="shared" ref="F48:I48" si="14">F41</f>
        <v>2018</v>
      </c>
      <c r="G48" s="10">
        <f t="shared" si="14"/>
        <v>2019</v>
      </c>
      <c r="H48" s="10">
        <f t="shared" si="14"/>
        <v>2020</v>
      </c>
      <c r="I48" s="10">
        <f t="shared" si="14"/>
        <v>2021</v>
      </c>
    </row>
    <row r="49" spans="1:9" x14ac:dyDescent="0.25">
      <c r="A49" t="s">
        <v>16</v>
      </c>
      <c r="E49" s="11">
        <v>0.05</v>
      </c>
      <c r="F49" s="11">
        <v>0.05</v>
      </c>
      <c r="G49" s="11">
        <v>0.05</v>
      </c>
      <c r="H49" s="11">
        <v>0.05</v>
      </c>
      <c r="I49" s="11">
        <v>0.05</v>
      </c>
    </row>
    <row r="50" spans="1:9" x14ac:dyDescent="0.25">
      <c r="A50" t="s">
        <v>35</v>
      </c>
      <c r="E50" s="11">
        <v>0.03</v>
      </c>
      <c r="F50" s="11">
        <v>0.03</v>
      </c>
      <c r="G50" s="11">
        <v>0.03</v>
      </c>
      <c r="H50" s="11">
        <v>0.03</v>
      </c>
      <c r="I50" s="11">
        <v>0.03</v>
      </c>
    </row>
    <row r="51" spans="1:9" x14ac:dyDescent="0.25">
      <c r="A51" t="s">
        <v>24</v>
      </c>
      <c r="I51" s="20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workbookViewId="0">
      <selection activeCell="D1" sqref="D1"/>
    </sheetView>
  </sheetViews>
  <sheetFormatPr defaultRowHeight="15" x14ac:dyDescent="0.25"/>
  <cols>
    <col min="1" max="1" width="2.7109375" customWidth="1"/>
    <col min="2" max="2" width="20.7109375" customWidth="1"/>
    <col min="3" max="3" width="15.7109375" customWidth="1"/>
    <col min="4" max="10" width="12.7109375" customWidth="1"/>
    <col min="11" max="16" width="14.7109375" customWidth="1"/>
  </cols>
  <sheetData>
    <row r="1" spans="1:9" x14ac:dyDescent="0.25">
      <c r="A1" s="10" t="s">
        <v>10</v>
      </c>
      <c r="B1" s="10"/>
      <c r="C1" s="10"/>
      <c r="D1" s="10"/>
    </row>
    <row r="2" spans="1:9" x14ac:dyDescent="0.25">
      <c r="A2" t="s">
        <v>9</v>
      </c>
      <c r="D2" s="2">
        <v>3500000</v>
      </c>
    </row>
    <row r="3" spans="1:9" x14ac:dyDescent="0.25">
      <c r="A3" s="6" t="s">
        <v>0</v>
      </c>
      <c r="B3" s="6"/>
      <c r="C3" s="6"/>
      <c r="D3" s="13">
        <v>3.5</v>
      </c>
    </row>
    <row r="4" spans="1:9" x14ac:dyDescent="0.25">
      <c r="A4" t="s">
        <v>11</v>
      </c>
      <c r="D4" s="7">
        <f>D2/D3</f>
        <v>1000000</v>
      </c>
    </row>
    <row r="5" spans="1:9" x14ac:dyDescent="0.25">
      <c r="A5" s="6" t="s">
        <v>5</v>
      </c>
      <c r="B5" s="6"/>
      <c r="C5" s="6"/>
      <c r="D5" s="35">
        <v>7.4499999999999997E-2</v>
      </c>
    </row>
    <row r="6" spans="1:9" x14ac:dyDescent="0.25">
      <c r="A6" s="15" t="s">
        <v>12</v>
      </c>
      <c r="B6" s="15"/>
      <c r="C6" s="15"/>
      <c r="D6" s="16">
        <f>D4/D5</f>
        <v>13422818.791946309</v>
      </c>
    </row>
    <row r="7" spans="1:9" x14ac:dyDescent="0.25">
      <c r="A7" s="6" t="s">
        <v>13</v>
      </c>
      <c r="B7" s="6"/>
      <c r="C7" s="6"/>
      <c r="D7" s="21">
        <v>25000000</v>
      </c>
    </row>
    <row r="8" spans="1:9" x14ac:dyDescent="0.25">
      <c r="A8" s="15" t="s">
        <v>14</v>
      </c>
      <c r="B8" s="15"/>
      <c r="C8" s="15"/>
      <c r="D8" s="16">
        <f>D7-D6</f>
        <v>11577181.208053691</v>
      </c>
    </row>
    <row r="10" spans="1:9" x14ac:dyDescent="0.25">
      <c r="A10" s="10" t="s">
        <v>19</v>
      </c>
      <c r="B10" s="10"/>
      <c r="C10" s="10"/>
      <c r="D10" s="10"/>
      <c r="E10" s="10">
        <v>2017</v>
      </c>
      <c r="F10" s="10">
        <f>E10+1</f>
        <v>2018</v>
      </c>
      <c r="G10" s="10">
        <f t="shared" ref="G10:I10" si="0">F10+1</f>
        <v>2019</v>
      </c>
      <c r="H10" s="10">
        <f t="shared" si="0"/>
        <v>2020</v>
      </c>
      <c r="I10" s="10">
        <f t="shared" si="0"/>
        <v>2021</v>
      </c>
    </row>
    <row r="11" spans="1:9" x14ac:dyDescent="0.25">
      <c r="A11" t="s">
        <v>9</v>
      </c>
      <c r="E11" s="1">
        <f>D2*(1+E32)</f>
        <v>3850000.0000000005</v>
      </c>
      <c r="F11" s="1">
        <f>E11*(1+F32)</f>
        <v>4235000.0000000009</v>
      </c>
      <c r="G11" s="1">
        <f>F11*(1+G32)</f>
        <v>4658500.0000000019</v>
      </c>
      <c r="H11" s="1">
        <f>G11*(1+H32)</f>
        <v>5124350.0000000028</v>
      </c>
      <c r="I11" s="1">
        <f>H11*(1+I32)</f>
        <v>5636785.0000000037</v>
      </c>
    </row>
    <row r="12" spans="1:9" x14ac:dyDescent="0.25">
      <c r="A12" t="s">
        <v>22</v>
      </c>
      <c r="E12" s="18">
        <f>E33</f>
        <v>800000</v>
      </c>
      <c r="F12" s="18">
        <f t="shared" ref="F12:I12" si="1">F33</f>
        <v>800000</v>
      </c>
      <c r="G12" s="18">
        <f t="shared" si="1"/>
        <v>800000</v>
      </c>
      <c r="H12" s="18">
        <f t="shared" si="1"/>
        <v>800000</v>
      </c>
      <c r="I12" s="18">
        <f t="shared" si="1"/>
        <v>800000</v>
      </c>
    </row>
    <row r="13" spans="1:9" x14ac:dyDescent="0.25">
      <c r="A13" s="17" t="s">
        <v>4</v>
      </c>
      <c r="B13" s="17"/>
      <c r="C13" s="17"/>
      <c r="D13" s="17"/>
      <c r="E13" s="18">
        <f>E29</f>
        <v>1000000</v>
      </c>
      <c r="F13" s="18">
        <f t="shared" ref="F13:I13" si="2">F29</f>
        <v>847275</v>
      </c>
      <c r="G13" s="18">
        <f t="shared" si="2"/>
        <v>654489.48749999981</v>
      </c>
      <c r="H13" s="18">
        <f t="shared" si="2"/>
        <v>415790.70431874966</v>
      </c>
      <c r="I13" s="18">
        <f t="shared" si="2"/>
        <v>124603.03679049635</v>
      </c>
    </row>
    <row r="14" spans="1:9" x14ac:dyDescent="0.25">
      <c r="A14" s="6" t="s">
        <v>23</v>
      </c>
      <c r="B14" s="6"/>
      <c r="C14" s="6"/>
      <c r="D14" s="6"/>
      <c r="E14" s="21">
        <v>0</v>
      </c>
      <c r="F14" s="21">
        <v>0</v>
      </c>
      <c r="G14" s="21">
        <v>0</v>
      </c>
      <c r="H14" s="21">
        <v>0</v>
      </c>
      <c r="I14" s="5">
        <f>I11*I34</f>
        <v>39457495.00000003</v>
      </c>
    </row>
    <row r="15" spans="1:9" x14ac:dyDescent="0.25">
      <c r="A15" s="19" t="s">
        <v>30</v>
      </c>
      <c r="E15" s="7">
        <f>E11-E12-E13+E14</f>
        <v>2050000.0000000005</v>
      </c>
      <c r="F15" s="7">
        <f t="shared" ref="F15:I15" si="3">F11-F12-F13+F14</f>
        <v>2587725.0000000009</v>
      </c>
      <c r="G15" s="7">
        <f t="shared" si="3"/>
        <v>3204010.512500002</v>
      </c>
      <c r="H15" s="7">
        <f t="shared" si="3"/>
        <v>3908559.2956812531</v>
      </c>
      <c r="I15" s="7">
        <f t="shared" si="3"/>
        <v>44169676.96320954</v>
      </c>
    </row>
    <row r="16" spans="1:9" x14ac:dyDescent="0.25">
      <c r="A16" s="22" t="s">
        <v>15</v>
      </c>
      <c r="B16" s="6"/>
      <c r="C16" s="6"/>
      <c r="D16" s="6"/>
      <c r="E16" s="5">
        <f>E26</f>
        <v>2050000.0000000005</v>
      </c>
      <c r="F16" s="5">
        <f t="shared" ref="F16:I16" si="4">F26</f>
        <v>2587725.0000000009</v>
      </c>
      <c r="G16" s="5">
        <f t="shared" si="4"/>
        <v>3204010.512500002</v>
      </c>
      <c r="H16" s="5">
        <f t="shared" si="4"/>
        <v>3908559.2956812531</v>
      </c>
      <c r="I16" s="5">
        <f t="shared" si="4"/>
        <v>1672523.9837650517</v>
      </c>
    </row>
    <row r="17" spans="1:16" x14ac:dyDescent="0.25">
      <c r="A17" s="19" t="s">
        <v>3</v>
      </c>
      <c r="E17" s="7">
        <f>E15-E16</f>
        <v>0</v>
      </c>
      <c r="F17" s="7">
        <f t="shared" ref="F17:I17" si="5">F15-F16</f>
        <v>0</v>
      </c>
      <c r="G17" s="7">
        <f t="shared" si="5"/>
        <v>0</v>
      </c>
      <c r="H17" s="7">
        <f t="shared" si="5"/>
        <v>0</v>
      </c>
      <c r="I17" s="7">
        <f t="shared" si="5"/>
        <v>42497152.979444489</v>
      </c>
      <c r="K17" s="29" t="s">
        <v>39</v>
      </c>
      <c r="L17" s="30"/>
      <c r="M17" s="30"/>
      <c r="N17" s="30"/>
      <c r="O17" s="30"/>
      <c r="P17" s="31"/>
    </row>
    <row r="18" spans="1:16" x14ac:dyDescent="0.25">
      <c r="A18" s="22" t="s">
        <v>25</v>
      </c>
      <c r="B18" s="6"/>
      <c r="C18" s="6"/>
      <c r="D18" s="28">
        <f>D35</f>
        <v>0.18</v>
      </c>
      <c r="E18" s="5">
        <f>E17/(1+$D$18)^(E10-$E$10+1)</f>
        <v>0</v>
      </c>
      <c r="F18" s="5">
        <f t="shared" ref="F18:I18" si="6">F17/(1+$D$18)^(F10-$E$10+1)</f>
        <v>0</v>
      </c>
      <c r="G18" s="5">
        <f t="shared" si="6"/>
        <v>0</v>
      </c>
      <c r="H18" s="5">
        <f t="shared" si="6"/>
        <v>0</v>
      </c>
      <c r="I18" s="5">
        <f t="shared" si="6"/>
        <v>18575897.230870884</v>
      </c>
      <c r="K18" s="32">
        <f>-D8</f>
        <v>-11577181.208053691</v>
      </c>
      <c r="L18" s="33">
        <f>E17</f>
        <v>0</v>
      </c>
      <c r="M18" s="33">
        <f t="shared" ref="M18:P18" si="7">F17</f>
        <v>0</v>
      </c>
      <c r="N18" s="33">
        <f t="shared" si="7"/>
        <v>0</v>
      </c>
      <c r="O18" s="33">
        <f t="shared" si="7"/>
        <v>0</v>
      </c>
      <c r="P18" s="34">
        <f t="shared" si="7"/>
        <v>42497152.979444489</v>
      </c>
    </row>
    <row r="19" spans="1:16" x14ac:dyDescent="0.25">
      <c r="A19" s="19" t="s">
        <v>26</v>
      </c>
      <c r="D19" s="11"/>
      <c r="E19" s="7">
        <f>SUM(E18:I18)</f>
        <v>18575897.230870884</v>
      </c>
      <c r="F19" s="7"/>
      <c r="G19" s="7"/>
      <c r="H19" s="7"/>
      <c r="I19" s="7"/>
    </row>
    <row r="20" spans="1:16" x14ac:dyDescent="0.25">
      <c r="A20" s="22" t="s">
        <v>27</v>
      </c>
      <c r="B20" s="6"/>
      <c r="C20" s="6"/>
      <c r="D20" s="23"/>
      <c r="E20" s="5">
        <f>D8</f>
        <v>11577181.208053691</v>
      </c>
      <c r="F20" s="7"/>
      <c r="G20" s="7"/>
      <c r="H20" s="7"/>
      <c r="I20" s="7"/>
    </row>
    <row r="21" spans="1:16" x14ac:dyDescent="0.25">
      <c r="A21" s="19" t="s">
        <v>28</v>
      </c>
      <c r="D21" s="11"/>
      <c r="E21" s="7">
        <f>E19-E20</f>
        <v>6998716.0228171926</v>
      </c>
      <c r="F21" s="7"/>
      <c r="G21" s="7"/>
      <c r="H21" s="7"/>
      <c r="I21" s="7"/>
    </row>
    <row r="22" spans="1:16" x14ac:dyDescent="0.25">
      <c r="A22" s="19" t="s">
        <v>29</v>
      </c>
      <c r="D22" s="11"/>
      <c r="E22" s="24">
        <f>IRR(K18:P18,0.2)</f>
        <v>0.29703412056970646</v>
      </c>
      <c r="F22" s="7"/>
      <c r="G22" s="7"/>
      <c r="H22" s="7"/>
      <c r="I22" s="7"/>
    </row>
    <row r="24" spans="1:16" x14ac:dyDescent="0.25">
      <c r="A24" s="10" t="s">
        <v>20</v>
      </c>
      <c r="B24" s="6"/>
      <c r="C24" s="6"/>
      <c r="D24" s="6"/>
      <c r="E24" s="10">
        <f>E10</f>
        <v>2017</v>
      </c>
      <c r="F24" s="10">
        <f t="shared" ref="F24:I24" si="8">F10</f>
        <v>2018</v>
      </c>
      <c r="G24" s="10">
        <f t="shared" si="8"/>
        <v>2019</v>
      </c>
      <c r="H24" s="10">
        <f t="shared" si="8"/>
        <v>2020</v>
      </c>
      <c r="I24" s="10">
        <f t="shared" si="8"/>
        <v>2021</v>
      </c>
    </row>
    <row r="25" spans="1:16" x14ac:dyDescent="0.25">
      <c r="A25" t="s">
        <v>17</v>
      </c>
      <c r="E25" s="7">
        <f>D6</f>
        <v>13422818.791946309</v>
      </c>
      <c r="F25" s="7">
        <f>E27</f>
        <v>11372818.791946309</v>
      </c>
      <c r="G25" s="7">
        <f t="shared" ref="G25:I25" si="9">F27</f>
        <v>8785093.7919463068</v>
      </c>
      <c r="H25" s="7">
        <f t="shared" si="9"/>
        <v>5581083.2794463048</v>
      </c>
      <c r="I25" s="7">
        <f t="shared" si="9"/>
        <v>1672523.9837650517</v>
      </c>
    </row>
    <row r="26" spans="1:16" x14ac:dyDescent="0.25">
      <c r="A26" s="6" t="s">
        <v>15</v>
      </c>
      <c r="B26" s="6"/>
      <c r="C26" s="6"/>
      <c r="D26" s="6"/>
      <c r="E26" s="5">
        <f>E15</f>
        <v>2050000.0000000005</v>
      </c>
      <c r="F26" s="5">
        <f>MIN(E27,F15)</f>
        <v>2587725.0000000009</v>
      </c>
      <c r="G26" s="5">
        <f t="shared" ref="G26:I26" si="10">MIN(F27,G15)</f>
        <v>3204010.512500002</v>
      </c>
      <c r="H26" s="5">
        <f t="shared" si="10"/>
        <v>3908559.2956812531</v>
      </c>
      <c r="I26" s="5">
        <f t="shared" si="10"/>
        <v>1672523.9837650517</v>
      </c>
    </row>
    <row r="27" spans="1:16" x14ac:dyDescent="0.25">
      <c r="A27" t="s">
        <v>18</v>
      </c>
      <c r="E27" s="7">
        <f>E25-E26</f>
        <v>11372818.791946309</v>
      </c>
      <c r="F27" s="7">
        <f>F25-F26</f>
        <v>8785093.7919463068</v>
      </c>
      <c r="G27" s="7">
        <f t="shared" ref="G27:I27" si="11">G25-G26</f>
        <v>5581083.2794463048</v>
      </c>
      <c r="H27" s="7">
        <f t="shared" si="11"/>
        <v>1672523.9837650517</v>
      </c>
      <c r="I27" s="7">
        <f t="shared" si="11"/>
        <v>0</v>
      </c>
    </row>
    <row r="28" spans="1:16" x14ac:dyDescent="0.25">
      <c r="A28" s="6" t="s">
        <v>5</v>
      </c>
      <c r="B28" s="6"/>
      <c r="C28" s="6"/>
      <c r="D28" s="6"/>
      <c r="E28" s="14">
        <f>$D$5</f>
        <v>7.4499999999999997E-2</v>
      </c>
      <c r="F28" s="14">
        <f t="shared" ref="F28:I28" si="12">$D$5</f>
        <v>7.4499999999999997E-2</v>
      </c>
      <c r="G28" s="14">
        <f t="shared" si="12"/>
        <v>7.4499999999999997E-2</v>
      </c>
      <c r="H28" s="14">
        <f t="shared" si="12"/>
        <v>7.4499999999999997E-2</v>
      </c>
      <c r="I28" s="14">
        <f t="shared" si="12"/>
        <v>7.4499999999999997E-2</v>
      </c>
    </row>
    <row r="29" spans="1:16" x14ac:dyDescent="0.25">
      <c r="A29" t="s">
        <v>21</v>
      </c>
      <c r="E29" s="7">
        <f>E25*E28</f>
        <v>1000000</v>
      </c>
      <c r="F29" s="7">
        <f t="shared" ref="F29:I29" si="13">F25*F28</f>
        <v>847275</v>
      </c>
      <c r="G29" s="7">
        <f t="shared" si="13"/>
        <v>654489.48749999981</v>
      </c>
      <c r="H29" s="7">
        <f t="shared" si="13"/>
        <v>415790.70431874966</v>
      </c>
      <c r="I29" s="7">
        <f t="shared" si="13"/>
        <v>124603.03679049635</v>
      </c>
    </row>
    <row r="31" spans="1:16" x14ac:dyDescent="0.25">
      <c r="A31" s="10" t="s">
        <v>31</v>
      </c>
      <c r="B31" s="6"/>
      <c r="C31" s="6"/>
      <c r="D31" s="6"/>
      <c r="E31" s="10">
        <f>E24</f>
        <v>2017</v>
      </c>
      <c r="F31" s="10">
        <f t="shared" ref="F31:I31" si="14">F24</f>
        <v>2018</v>
      </c>
      <c r="G31" s="10">
        <f t="shared" si="14"/>
        <v>2019</v>
      </c>
      <c r="H31" s="10">
        <f t="shared" si="14"/>
        <v>2020</v>
      </c>
      <c r="I31" s="10">
        <f t="shared" si="14"/>
        <v>2021</v>
      </c>
    </row>
    <row r="32" spans="1:16" x14ac:dyDescent="0.25">
      <c r="A32" t="s">
        <v>16</v>
      </c>
      <c r="E32" s="11">
        <v>0.1</v>
      </c>
      <c r="F32" s="11">
        <v>0.1</v>
      </c>
      <c r="G32" s="11">
        <v>0.1</v>
      </c>
      <c r="H32" s="11">
        <v>0.1</v>
      </c>
      <c r="I32" s="11">
        <v>0.1</v>
      </c>
    </row>
    <row r="33" spans="1:9" x14ac:dyDescent="0.25">
      <c r="A33" t="s">
        <v>37</v>
      </c>
      <c r="E33" s="2">
        <v>800000</v>
      </c>
      <c r="F33" s="2">
        <v>800000</v>
      </c>
      <c r="G33" s="2">
        <v>800000</v>
      </c>
      <c r="H33" s="2">
        <v>800000</v>
      </c>
      <c r="I33" s="2">
        <v>800000</v>
      </c>
    </row>
    <row r="34" spans="1:9" x14ac:dyDescent="0.25">
      <c r="A34" t="s">
        <v>24</v>
      </c>
      <c r="I34" s="20">
        <v>7</v>
      </c>
    </row>
    <row r="35" spans="1:9" x14ac:dyDescent="0.25">
      <c r="A35" t="s">
        <v>38</v>
      </c>
      <c r="D35" s="27">
        <v>0.18</v>
      </c>
    </row>
    <row r="36" spans="1:9" x14ac:dyDescent="0.25">
      <c r="D3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PPT</vt:lpstr>
      <vt:lpstr>exercises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</cp:lastModifiedBy>
  <dcterms:created xsi:type="dcterms:W3CDTF">2014-09-20T06:54:40Z</dcterms:created>
  <dcterms:modified xsi:type="dcterms:W3CDTF">2017-03-29T08:14:06Z</dcterms:modified>
</cp:coreProperties>
</file>