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BIU\Financial Management\FM student\FM week 6\"/>
    </mc:Choice>
  </mc:AlternateContent>
  <bookViews>
    <workbookView xWindow="0" yWindow="0" windowWidth="20490" windowHeight="7755"/>
  </bookViews>
  <sheets>
    <sheet name="xotics FS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5" i="10" l="1"/>
  <c r="O103" i="10"/>
  <c r="H5" i="10"/>
  <c r="H3" i="10"/>
  <c r="H49" i="10" s="1"/>
  <c r="H2" i="10"/>
  <c r="H44" i="10" s="1"/>
  <c r="I7" i="10"/>
  <c r="H118" i="10"/>
  <c r="H115" i="10"/>
  <c r="H109" i="10"/>
  <c r="J109" i="10" s="1"/>
  <c r="H105" i="10"/>
  <c r="J105" i="10" s="1"/>
  <c r="H101" i="10"/>
  <c r="H104" i="10" s="1"/>
  <c r="H95" i="10"/>
  <c r="H94" i="10"/>
  <c r="H21" i="10"/>
  <c r="H26" i="10"/>
  <c r="H25" i="10"/>
  <c r="H75" i="10" s="1"/>
  <c r="H77" i="10" s="1"/>
  <c r="H27" i="10" s="1"/>
  <c r="H72" i="10"/>
  <c r="H55" i="10"/>
  <c r="H61" i="10" s="1"/>
  <c r="H50" i="10"/>
  <c r="H59" i="10" s="1"/>
  <c r="H45" i="10"/>
  <c r="H58" i="10" s="1"/>
  <c r="H67" i="10"/>
  <c r="H96" i="10" l="1"/>
  <c r="H100" i="10" s="1"/>
  <c r="H119" i="10" s="1"/>
  <c r="H106" i="10"/>
  <c r="H48" i="10"/>
  <c r="H15" i="10" s="1"/>
  <c r="H43" i="10"/>
  <c r="H14" i="10" s="1"/>
  <c r="H70" i="10"/>
  <c r="H71" i="10" s="1"/>
  <c r="H54" i="10"/>
  <c r="H53" i="10" s="1"/>
  <c r="H20" i="10" s="1"/>
  <c r="H22" i="10" s="1"/>
  <c r="H66" i="10" s="1"/>
  <c r="H65" i="10" s="1"/>
  <c r="H60" i="10"/>
  <c r="H62" i="10" s="1"/>
  <c r="H4" i="10"/>
  <c r="H6" i="10" s="1"/>
  <c r="F70" i="10"/>
  <c r="F37" i="10"/>
  <c r="F53" i="10"/>
  <c r="F54" i="10"/>
  <c r="F49" i="10"/>
  <c r="F48" i="10"/>
  <c r="F43" i="10"/>
  <c r="F44" i="10"/>
  <c r="F22" i="10"/>
  <c r="F24" i="10" s="1"/>
  <c r="F28" i="10" s="1"/>
  <c r="F16" i="10"/>
  <c r="F12" i="10"/>
  <c r="H97" i="10" l="1"/>
  <c r="H116" i="10" s="1"/>
  <c r="H117" i="10" s="1"/>
  <c r="O102" i="10"/>
  <c r="O104" i="10" s="1"/>
  <c r="O106" i="10" s="1"/>
  <c r="O108" i="10" s="1"/>
  <c r="J102" i="10" s="1"/>
  <c r="J101" i="10" s="1"/>
  <c r="H120" i="10"/>
  <c r="F55" i="10"/>
  <c r="F61" i="10" s="1"/>
  <c r="H13" i="10"/>
  <c r="H16" i="10" s="1"/>
  <c r="H102" i="10"/>
  <c r="H108" i="10" s="1"/>
  <c r="H110" i="10" s="1"/>
  <c r="H111" i="10" s="1"/>
  <c r="J100" i="10"/>
  <c r="F45" i="10"/>
  <c r="F58" i="10" s="1"/>
  <c r="F50" i="10"/>
  <c r="F59" i="10" s="1"/>
  <c r="F65" i="10"/>
  <c r="F18" i="10"/>
  <c r="F71" i="10" s="1"/>
  <c r="F72" i="10" s="1"/>
  <c r="F66" i="10"/>
  <c r="F4" i="10"/>
  <c r="F6" i="10" s="1"/>
  <c r="F8" i="10" s="1"/>
  <c r="J108" i="10" l="1"/>
  <c r="J110" i="10" s="1"/>
  <c r="H121" i="10"/>
  <c r="J104" i="10"/>
  <c r="J106" i="10" s="1"/>
  <c r="J111" i="10" s="1"/>
  <c r="H112" i="10" s="1"/>
  <c r="H113" i="10" s="1"/>
  <c r="F60" i="10"/>
  <c r="F62" i="10" s="1"/>
  <c r="H17" i="10"/>
  <c r="H18" i="10" s="1"/>
  <c r="H24" i="10" s="1"/>
  <c r="F67" i="10"/>
  <c r="F30" i="10"/>
  <c r="F10" i="10"/>
  <c r="I9" i="10"/>
  <c r="H28" i="10" l="1"/>
  <c r="H30" i="10" s="1"/>
  <c r="H23" i="10"/>
  <c r="H7" i="10" s="1"/>
  <c r="H8" i="10" s="1"/>
  <c r="H9" i="10" s="1"/>
  <c r="H10" i="10" s="1"/>
</calcChain>
</file>

<file path=xl/sharedStrings.xml><?xml version="1.0" encoding="utf-8"?>
<sst xmlns="http://schemas.openxmlformats.org/spreadsheetml/2006/main" count="118" uniqueCount="85">
  <si>
    <t>Sales</t>
  </si>
  <si>
    <t>Retained earnings</t>
  </si>
  <si>
    <t>Gross profit</t>
  </si>
  <si>
    <t>Operating profit</t>
  </si>
  <si>
    <t>Interest expense</t>
  </si>
  <si>
    <t>Income tax expense</t>
  </si>
  <si>
    <t>Cash</t>
  </si>
  <si>
    <t>Receivables</t>
  </si>
  <si>
    <t>Inventory</t>
  </si>
  <si>
    <t>Total current assets</t>
  </si>
  <si>
    <t>Total assets</t>
  </si>
  <si>
    <t>Assets</t>
  </si>
  <si>
    <t>Current liabilities</t>
  </si>
  <si>
    <t>Total liabilities</t>
  </si>
  <si>
    <t>Total liabilities and equity</t>
  </si>
  <si>
    <t>Net income</t>
  </si>
  <si>
    <t>Difference</t>
  </si>
  <si>
    <t>Interest rate</t>
  </si>
  <si>
    <t>a)</t>
  </si>
  <si>
    <t>b)</t>
  </si>
  <si>
    <t>c)</t>
  </si>
  <si>
    <t>Cost per unit</t>
  </si>
  <si>
    <t>Payables</t>
  </si>
  <si>
    <t>One day sales</t>
  </si>
  <si>
    <t>Current</t>
  </si>
  <si>
    <t>Days sales in receivables</t>
  </si>
  <si>
    <t>COGS</t>
  </si>
  <si>
    <t>Order cost</t>
  </si>
  <si>
    <t>EOQ</t>
  </si>
  <si>
    <t>Reorder point</t>
  </si>
  <si>
    <t>Administrative expense</t>
  </si>
  <si>
    <t>One day COGS</t>
  </si>
  <si>
    <t>Income Statement</t>
  </si>
  <si>
    <t>EBT</t>
  </si>
  <si>
    <t>Balance Sheet</t>
  </si>
  <si>
    <t>Fixed assets</t>
  </si>
  <si>
    <t>Notes payable, short term</t>
  </si>
  <si>
    <t>Notes payable, long term</t>
  </si>
  <si>
    <t>Share capital, $1 par value</t>
  </si>
  <si>
    <t>Other equity</t>
  </si>
  <si>
    <t>Days receivables</t>
  </si>
  <si>
    <t>Days inventory</t>
  </si>
  <si>
    <t>Days payables</t>
  </si>
  <si>
    <t>Cash cycle</t>
  </si>
  <si>
    <t>Inventory information</t>
  </si>
  <si>
    <t>Order costs</t>
  </si>
  <si>
    <t>Orders per year</t>
  </si>
  <si>
    <t>Carrying cost</t>
  </si>
  <si>
    <t>Industry ratios</t>
  </si>
  <si>
    <t>Current ratio</t>
  </si>
  <si>
    <t>Days COGS in inventory</t>
  </si>
  <si>
    <t>Days COGS in payables</t>
  </si>
  <si>
    <t>Asset turnover</t>
  </si>
  <si>
    <t>Proforma</t>
  </si>
  <si>
    <t>CA</t>
  </si>
  <si>
    <t>CL</t>
  </si>
  <si>
    <t>Operating cycle</t>
  </si>
  <si>
    <t>NO CHANGE</t>
  </si>
  <si>
    <t>Dividend</t>
  </si>
  <si>
    <t>Shares</t>
  </si>
  <si>
    <t>Dividend per share</t>
  </si>
  <si>
    <t>Safety stock, % of monthly sales</t>
  </si>
  <si>
    <t>Current COGS</t>
  </si>
  <si>
    <t>Annual demand</t>
  </si>
  <si>
    <t>Monthly demand</t>
  </si>
  <si>
    <t>Inventory delivery time, days</t>
  </si>
  <si>
    <t>Order size</t>
  </si>
  <si>
    <t>Order + carrying cost</t>
  </si>
  <si>
    <t>% change</t>
  </si>
  <si>
    <t>Daily demand</t>
  </si>
  <si>
    <t>Safety stock %</t>
  </si>
  <si>
    <t>Safety stock, units</t>
  </si>
  <si>
    <t>Unit sales during delivery time</t>
  </si>
  <si>
    <t>Assumptions</t>
  </si>
  <si>
    <t>Sales decrease</t>
  </si>
  <si>
    <t>Operating expense decrease</t>
  </si>
  <si>
    <t>COGS decrease</t>
  </si>
  <si>
    <t>??</t>
  </si>
  <si>
    <t>2016 rate</t>
  </si>
  <si>
    <t>Tax rate</t>
  </si>
  <si>
    <t>Short term notes payable</t>
  </si>
  <si>
    <t>Share capital</t>
  </si>
  <si>
    <t>Sequence</t>
  </si>
  <si>
    <t>Inventory management</t>
  </si>
  <si>
    <t>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</si>
</sst>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0_);\(0\)"/>
    <numFmt numFmtId="168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3" fillId="0" borderId="0" xfId="1" applyNumberFormat="1" applyFont="1"/>
    <xf numFmtId="0" fontId="0" fillId="0" borderId="1" xfId="0" applyBorder="1"/>
    <xf numFmtId="0" fontId="2" fillId="0" borderId="1" xfId="0" applyFont="1" applyBorder="1"/>
    <xf numFmtId="164" fontId="0" fillId="0" borderId="0" xfId="0" applyNumberFormat="1"/>
    <xf numFmtId="164" fontId="0" fillId="0" borderId="1" xfId="0" applyNumberFormat="1" applyBorder="1"/>
    <xf numFmtId="9" fontId="3" fillId="0" borderId="0" xfId="0" applyNumberFormat="1" applyFont="1"/>
    <xf numFmtId="164" fontId="0" fillId="0" borderId="0" xfId="1" applyNumberFormat="1" applyFont="1"/>
    <xf numFmtId="0" fontId="0" fillId="0" borderId="0" xfId="0" applyBorder="1"/>
    <xf numFmtId="165" fontId="0" fillId="0" borderId="0" xfId="2" applyNumberFormat="1" applyFont="1"/>
    <xf numFmtId="168" fontId="0" fillId="0" borderId="0" xfId="3" applyNumberFormat="1" applyFont="1"/>
    <xf numFmtId="166" fontId="0" fillId="0" borderId="1" xfId="2" applyNumberFormat="1" applyFont="1" applyBorder="1"/>
    <xf numFmtId="0" fontId="5" fillId="0" borderId="0" xfId="0" applyFont="1"/>
    <xf numFmtId="166" fontId="0" fillId="0" borderId="0" xfId="2" applyNumberFormat="1" applyFont="1"/>
    <xf numFmtId="167" fontId="2" fillId="0" borderId="1" xfId="0" applyNumberFormat="1" applyFont="1" applyBorder="1"/>
    <xf numFmtId="6" fontId="3" fillId="0" borderId="0" xfId="0" applyNumberFormat="1" applyFont="1"/>
    <xf numFmtId="166" fontId="0" fillId="0" borderId="0" xfId="0" applyNumberFormat="1"/>
    <xf numFmtId="166" fontId="0" fillId="0" borderId="1" xfId="0" applyNumberFormat="1" applyBorder="1"/>
    <xf numFmtId="165" fontId="0" fillId="0" borderId="0" xfId="0" applyNumberFormat="1"/>
    <xf numFmtId="0" fontId="0" fillId="0" borderId="2" xfId="0" applyBorder="1"/>
    <xf numFmtId="6" fontId="0" fillId="0" borderId="0" xfId="0" applyNumberFormat="1"/>
    <xf numFmtId="166" fontId="3" fillId="0" borderId="0" xfId="2" applyNumberFormat="1" applyFont="1"/>
    <xf numFmtId="0" fontId="0" fillId="0" borderId="0" xfId="0" applyFill="1" applyBorder="1"/>
    <xf numFmtId="6" fontId="0" fillId="0" borderId="1" xfId="0" applyNumberFormat="1" applyBorder="1"/>
    <xf numFmtId="0" fontId="0" fillId="0" borderId="1" xfId="0" applyFill="1" applyBorder="1"/>
    <xf numFmtId="43" fontId="2" fillId="0" borderId="1" xfId="2" applyFont="1" applyBorder="1" applyAlignment="1">
      <alignment horizontal="right"/>
    </xf>
    <xf numFmtId="164" fontId="0" fillId="0" borderId="2" xfId="1" applyNumberFormat="1" applyFont="1" applyBorder="1"/>
    <xf numFmtId="0" fontId="2" fillId="0" borderId="1" xfId="2" applyNumberFormat="1" applyFont="1" applyBorder="1" applyAlignment="1">
      <alignment horizontal="left"/>
    </xf>
    <xf numFmtId="164" fontId="0" fillId="0" borderId="1" xfId="1" applyNumberFormat="1" applyFont="1" applyBorder="1"/>
    <xf numFmtId="166" fontId="0" fillId="0" borderId="0" xfId="0" applyNumberFormat="1" applyBorder="1"/>
    <xf numFmtId="43" fontId="2" fillId="0" borderId="0" xfId="2" applyFont="1" applyBorder="1" applyAlignment="1">
      <alignment horizontal="right"/>
    </xf>
    <xf numFmtId="6" fontId="0" fillId="0" borderId="0" xfId="0" applyNumberFormat="1" applyBorder="1"/>
    <xf numFmtId="164" fontId="0" fillId="0" borderId="0" xfId="1" applyNumberFormat="1" applyFont="1" applyBorder="1"/>
    <xf numFmtId="6" fontId="0" fillId="2" borderId="1" xfId="0" applyNumberFormat="1" applyFill="1" applyBorder="1"/>
    <xf numFmtId="166" fontId="0" fillId="0" borderId="2" xfId="2" applyNumberFormat="1" applyFont="1" applyBorder="1"/>
    <xf numFmtId="167" fontId="2" fillId="0" borderId="1" xfId="2" applyNumberFormat="1" applyFont="1" applyBorder="1" applyAlignment="1">
      <alignment horizontal="right"/>
    </xf>
    <xf numFmtId="6" fontId="3" fillId="0" borderId="1" xfId="0" applyNumberFormat="1" applyFont="1" applyBorder="1"/>
    <xf numFmtId="8" fontId="3" fillId="0" borderId="1" xfId="0" applyNumberFormat="1" applyFont="1" applyBorder="1"/>
    <xf numFmtId="6" fontId="3" fillId="0" borderId="0" xfId="0" applyNumberFormat="1" applyFont="1" applyBorder="1"/>
    <xf numFmtId="6" fontId="3" fillId="0" borderId="0" xfId="0" applyNumberFormat="1" applyFont="1" applyFill="1" applyBorder="1"/>
    <xf numFmtId="0" fontId="0" fillId="0" borderId="0" xfId="0" applyFont="1"/>
    <xf numFmtId="165" fontId="3" fillId="0" borderId="0" xfId="2" applyNumberFormat="1" applyFont="1"/>
    <xf numFmtId="166" fontId="4" fillId="0" borderId="0" xfId="2" applyNumberFormat="1" applyFont="1"/>
    <xf numFmtId="9" fontId="0" fillId="0" borderId="0" xfId="3" applyFont="1"/>
    <xf numFmtId="9" fontId="0" fillId="0" borderId="0" xfId="0" applyNumberFormat="1"/>
    <xf numFmtId="164" fontId="0" fillId="0" borderId="3" xfId="1" applyNumberFormat="1" applyFont="1" applyBorder="1"/>
    <xf numFmtId="165" fontId="0" fillId="0" borderId="0" xfId="0" applyNumberFormat="1" applyBorder="1"/>
    <xf numFmtId="6" fontId="0" fillId="2" borderId="0" xfId="0" applyNumberFormat="1" applyFill="1"/>
    <xf numFmtId="164" fontId="0" fillId="2" borderId="0" xfId="0" applyNumberFormat="1" applyFill="1"/>
    <xf numFmtId="6" fontId="0" fillId="0" borderId="0" xfId="0" applyNumberFormat="1" applyFill="1" applyBorder="1"/>
    <xf numFmtId="6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6" fontId="0" fillId="0" borderId="0" xfId="0" applyNumberFormat="1" applyFill="1" applyBorder="1"/>
    <xf numFmtId="166" fontId="0" fillId="0" borderId="0" xfId="0" applyNumberFormat="1" applyFill="1"/>
    <xf numFmtId="166" fontId="0" fillId="0" borderId="0" xfId="2" applyNumberFormat="1" applyFont="1" applyFill="1" applyBorder="1"/>
    <xf numFmtId="164" fontId="0" fillId="2" borderId="1" xfId="0" applyNumberFormat="1" applyFill="1" applyBorder="1"/>
    <xf numFmtId="166" fontId="0" fillId="0" borderId="0" xfId="2" applyNumberFormat="1" applyFont="1" applyFill="1"/>
    <xf numFmtId="9" fontId="4" fillId="0" borderId="0" xfId="3" applyFont="1"/>
    <xf numFmtId="9" fontId="3" fillId="0" borderId="0" xfId="0" applyNumberFormat="1" applyFont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164" fontId="0" fillId="0" borderId="0" xfId="0" applyNumberFormat="1" applyFill="1" applyBorder="1"/>
    <xf numFmtId="165" fontId="0" fillId="0" borderId="0" xfId="0" applyNumberFormat="1" applyFill="1" applyBorder="1"/>
    <xf numFmtId="165" fontId="0" fillId="0" borderId="0" xfId="0" applyNumberFormat="1" applyFill="1"/>
    <xf numFmtId="8" fontId="3" fillId="0" borderId="0" xfId="0" applyNumberFormat="1" applyFont="1" applyFill="1" applyBorder="1"/>
    <xf numFmtId="166" fontId="3" fillId="0" borderId="0" xfId="2" applyNumberFormat="1" applyFont="1" applyFill="1"/>
    <xf numFmtId="164" fontId="3" fillId="0" borderId="0" xfId="1" applyNumberFormat="1" applyFont="1" applyFill="1"/>
    <xf numFmtId="9" fontId="3" fillId="0" borderId="0" xfId="0" applyNumberFormat="1" applyFont="1" applyFill="1"/>
    <xf numFmtId="43" fontId="0" fillId="0" borderId="0" xfId="0" applyNumberFormat="1" applyFill="1"/>
    <xf numFmtId="9" fontId="0" fillId="0" borderId="0" xfId="3" applyFont="1" applyFill="1"/>
    <xf numFmtId="9" fontId="0" fillId="0" borderId="0" xfId="0" applyNumberFormat="1" applyFill="1"/>
    <xf numFmtId="43" fontId="2" fillId="0" borderId="1" xfId="2" applyFont="1" applyFill="1" applyBorder="1" applyAlignment="1">
      <alignment horizontal="right"/>
    </xf>
    <xf numFmtId="165" fontId="3" fillId="0" borderId="1" xfId="2" applyNumberFormat="1" applyFont="1" applyBorder="1"/>
    <xf numFmtId="166" fontId="0" fillId="0" borderId="3" xfId="2" applyNumberFormat="1" applyFont="1" applyBorder="1"/>
    <xf numFmtId="0" fontId="2" fillId="0" borderId="0" xfId="0" applyFont="1" applyAlignment="1">
      <alignment horizontal="center"/>
    </xf>
    <xf numFmtId="6" fontId="0" fillId="0" borderId="3" xfId="0" applyNumberFormat="1" applyBorder="1"/>
    <xf numFmtId="0" fontId="5" fillId="0" borderId="0" xfId="0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showGridLines="0" tabSelected="1" workbookViewId="0">
      <selection activeCell="A2" sqref="A2"/>
    </sheetView>
  </sheetViews>
  <sheetFormatPr defaultRowHeight="15" x14ac:dyDescent="0.25"/>
  <cols>
    <col min="6" max="6" width="12.7109375" customWidth="1"/>
    <col min="8" max="8" width="12.7109375" customWidth="1"/>
    <col min="9" max="9" width="12.7109375" style="51" customWidth="1"/>
    <col min="10" max="10" width="12.7109375" customWidth="1"/>
    <col min="15" max="15" width="14.28515625" bestFit="1" customWidth="1"/>
  </cols>
  <sheetData>
    <row r="1" spans="1:16" x14ac:dyDescent="0.25">
      <c r="A1" s="76" t="s">
        <v>18</v>
      </c>
      <c r="B1" s="27" t="s">
        <v>32</v>
      </c>
      <c r="C1" s="25"/>
      <c r="D1" s="25"/>
      <c r="E1" s="25"/>
      <c r="F1" s="35">
        <v>2016</v>
      </c>
      <c r="H1" s="35" t="s">
        <v>53</v>
      </c>
      <c r="I1" s="62"/>
      <c r="J1" s="35" t="s">
        <v>82</v>
      </c>
      <c r="L1" s="12" t="s">
        <v>73</v>
      </c>
    </row>
    <row r="2" spans="1:16" x14ac:dyDescent="0.25">
      <c r="B2" t="s">
        <v>0</v>
      </c>
      <c r="F2" s="15">
        <v>2346000</v>
      </c>
      <c r="H2" s="20">
        <f>F2*(1-P2)</f>
        <v>2228700</v>
      </c>
      <c r="I2" s="50"/>
      <c r="J2" s="59">
        <v>1</v>
      </c>
      <c r="K2" s="60"/>
      <c r="L2" t="s">
        <v>74</v>
      </c>
      <c r="P2" s="6">
        <v>5.0000000000000044E-2</v>
      </c>
    </row>
    <row r="3" spans="1:16" x14ac:dyDescent="0.25">
      <c r="B3" s="2" t="s">
        <v>26</v>
      </c>
      <c r="C3" s="2"/>
      <c r="D3" s="2"/>
      <c r="E3" s="2"/>
      <c r="F3" s="36">
        <v>1460000</v>
      </c>
      <c r="H3" s="20">
        <f>F3*(1-P2)</f>
        <v>1387000</v>
      </c>
      <c r="I3" s="49"/>
      <c r="J3" s="59">
        <v>2</v>
      </c>
      <c r="K3" s="60"/>
      <c r="L3" t="s">
        <v>76</v>
      </c>
      <c r="P3" s="61" t="s">
        <v>77</v>
      </c>
    </row>
    <row r="4" spans="1:16" x14ac:dyDescent="0.25">
      <c r="B4" s="8" t="s">
        <v>2</v>
      </c>
      <c r="C4" s="8"/>
      <c r="D4" s="8"/>
      <c r="E4" s="8"/>
      <c r="F4" s="31">
        <f>F2-F3</f>
        <v>886000</v>
      </c>
      <c r="H4" s="31">
        <f>H2-H3</f>
        <v>841700</v>
      </c>
      <c r="I4" s="49"/>
      <c r="J4" s="59">
        <v>3</v>
      </c>
      <c r="L4" t="s">
        <v>75</v>
      </c>
      <c r="P4" s="6">
        <v>9.9999999999999978E-2</v>
      </c>
    </row>
    <row r="5" spans="1:16" x14ac:dyDescent="0.25">
      <c r="B5" s="2" t="s">
        <v>30</v>
      </c>
      <c r="C5" s="2"/>
      <c r="D5" s="2"/>
      <c r="E5" s="2"/>
      <c r="F5" s="36">
        <v>244000</v>
      </c>
      <c r="H5" s="23">
        <f>F5*(1-P4)</f>
        <v>219600</v>
      </c>
      <c r="I5" s="49"/>
      <c r="J5" s="59">
        <v>4</v>
      </c>
      <c r="K5" s="60"/>
      <c r="L5" t="s">
        <v>17</v>
      </c>
      <c r="P5" s="6" t="s">
        <v>78</v>
      </c>
    </row>
    <row r="6" spans="1:16" s="8" customFormat="1" x14ac:dyDescent="0.25">
      <c r="B6" s="22" t="s">
        <v>3</v>
      </c>
      <c r="F6" s="31">
        <f>F4-F5</f>
        <v>642000</v>
      </c>
      <c r="H6" s="31">
        <f>H4-H5</f>
        <v>622100</v>
      </c>
      <c r="I6" s="49"/>
      <c r="J6" s="59">
        <v>5</v>
      </c>
      <c r="L6" s="8" t="s">
        <v>79</v>
      </c>
      <c r="P6" s="6" t="s">
        <v>78</v>
      </c>
    </row>
    <row r="7" spans="1:16" x14ac:dyDescent="0.25">
      <c r="B7" s="24" t="s">
        <v>4</v>
      </c>
      <c r="C7" s="2"/>
      <c r="D7" s="2"/>
      <c r="E7" s="2"/>
      <c r="F7" s="36">
        <v>74900</v>
      </c>
      <c r="H7" s="58">
        <f>I7*(H21+H23)</f>
        <v>70780.5</v>
      </c>
      <c r="I7" s="10">
        <f>F7/(F21+F23)</f>
        <v>0.25827586206896552</v>
      </c>
      <c r="J7" s="59">
        <v>21</v>
      </c>
      <c r="L7" s="22" t="s">
        <v>80</v>
      </c>
      <c r="P7" s="61" t="s">
        <v>57</v>
      </c>
    </row>
    <row r="8" spans="1:16" x14ac:dyDescent="0.25">
      <c r="B8" s="22" t="s">
        <v>33</v>
      </c>
      <c r="F8" s="20">
        <f>F6-F7</f>
        <v>567100</v>
      </c>
      <c r="H8" s="20">
        <f>H6-H7</f>
        <v>551319.5</v>
      </c>
      <c r="I8" s="50"/>
      <c r="J8" s="59">
        <v>22</v>
      </c>
      <c r="L8" s="22" t="s">
        <v>81</v>
      </c>
      <c r="P8" s="61" t="s">
        <v>57</v>
      </c>
    </row>
    <row r="9" spans="1:16" x14ac:dyDescent="0.25">
      <c r="B9" s="24" t="s">
        <v>5</v>
      </c>
      <c r="C9" s="2"/>
      <c r="D9" s="2"/>
      <c r="E9" s="2"/>
      <c r="F9" s="23">
        <v>142500</v>
      </c>
      <c r="H9" s="23">
        <f>H8*I9</f>
        <v>138534.70067007584</v>
      </c>
      <c r="I9" s="10">
        <f>F9/F8</f>
        <v>0.2512784341385999</v>
      </c>
      <c r="J9" s="59">
        <v>23</v>
      </c>
      <c r="L9" s="22" t="s">
        <v>39</v>
      </c>
      <c r="P9" s="61" t="s">
        <v>57</v>
      </c>
    </row>
    <row r="10" spans="1:16" x14ac:dyDescent="0.25">
      <c r="B10" s="22" t="s">
        <v>15</v>
      </c>
      <c r="F10" s="20">
        <f>F8-F9</f>
        <v>424600</v>
      </c>
      <c r="H10" s="20">
        <f>H8-H9</f>
        <v>412784.79932992416</v>
      </c>
      <c r="I10" s="50"/>
      <c r="J10" s="59">
        <v>24</v>
      </c>
    </row>
    <row r="11" spans="1:16" x14ac:dyDescent="0.25">
      <c r="J11" s="51"/>
    </row>
    <row r="12" spans="1:16" x14ac:dyDescent="0.25">
      <c r="B12" s="3" t="s">
        <v>34</v>
      </c>
      <c r="C12" s="3"/>
      <c r="D12" s="3"/>
      <c r="E12" s="3"/>
      <c r="F12" s="14">
        <f>F1</f>
        <v>2016</v>
      </c>
      <c r="J12" s="51"/>
    </row>
    <row r="13" spans="1:16" x14ac:dyDescent="0.25">
      <c r="B13" t="s">
        <v>6</v>
      </c>
      <c r="F13" s="15">
        <v>220800</v>
      </c>
      <c r="H13" s="48">
        <f>H65-H14-H15</f>
        <v>34383.013698630151</v>
      </c>
      <c r="I13" s="52"/>
      <c r="J13" s="59">
        <v>14</v>
      </c>
    </row>
    <row r="14" spans="1:16" x14ac:dyDescent="0.25">
      <c r="B14" t="s">
        <v>7</v>
      </c>
      <c r="F14" s="15">
        <v>469200</v>
      </c>
      <c r="H14" s="4">
        <f>H43</f>
        <v>219816.98630136985</v>
      </c>
      <c r="I14" s="52"/>
      <c r="J14" s="57">
        <v>6</v>
      </c>
    </row>
    <row r="15" spans="1:16" x14ac:dyDescent="0.25">
      <c r="B15" s="2" t="s">
        <v>8</v>
      </c>
      <c r="C15" s="2"/>
      <c r="D15" s="2"/>
      <c r="E15" s="2"/>
      <c r="F15" s="36">
        <v>322700</v>
      </c>
      <c r="H15" s="5">
        <f>H48</f>
        <v>133000</v>
      </c>
      <c r="I15" s="63"/>
      <c r="J15" s="57">
        <v>7</v>
      </c>
    </row>
    <row r="16" spans="1:16" x14ac:dyDescent="0.25">
      <c r="B16" t="s">
        <v>9</v>
      </c>
      <c r="F16" s="20">
        <f>SUM(F13:F15)</f>
        <v>1012700</v>
      </c>
      <c r="H16" s="20">
        <f>SUM(H13:H15)</f>
        <v>387200</v>
      </c>
      <c r="I16" s="50"/>
      <c r="J16" s="59">
        <v>15</v>
      </c>
    </row>
    <row r="17" spans="2:10" x14ac:dyDescent="0.25">
      <c r="B17" s="2" t="s">
        <v>35</v>
      </c>
      <c r="C17" s="2"/>
      <c r="D17" s="2"/>
      <c r="E17" s="2"/>
      <c r="F17" s="36">
        <v>1650900</v>
      </c>
      <c r="H17" s="58">
        <f>H71-H16</f>
        <v>1470050</v>
      </c>
      <c r="I17" s="63"/>
      <c r="J17" s="59">
        <v>16</v>
      </c>
    </row>
    <row r="18" spans="2:10" x14ac:dyDescent="0.25">
      <c r="B18" t="s">
        <v>10</v>
      </c>
      <c r="F18" s="20">
        <f>SUM(F16:F17)</f>
        <v>2663600</v>
      </c>
      <c r="H18" s="20">
        <f>SUM(H16:H17)</f>
        <v>1857250</v>
      </c>
      <c r="I18" s="50"/>
      <c r="J18" s="59">
        <v>17</v>
      </c>
    </row>
    <row r="19" spans="2:10" x14ac:dyDescent="0.25">
      <c r="J19" s="51"/>
    </row>
    <row r="20" spans="2:10" x14ac:dyDescent="0.25">
      <c r="B20" s="8" t="s">
        <v>22</v>
      </c>
      <c r="C20" s="8"/>
      <c r="D20" s="8"/>
      <c r="E20" s="8"/>
      <c r="F20" s="38">
        <v>252400</v>
      </c>
      <c r="H20" s="7">
        <f>H53</f>
        <v>152000</v>
      </c>
      <c r="I20" s="53"/>
      <c r="J20" s="57">
        <v>8</v>
      </c>
    </row>
    <row r="21" spans="2:10" x14ac:dyDescent="0.25">
      <c r="B21" s="24" t="s">
        <v>36</v>
      </c>
      <c r="C21" s="2"/>
      <c r="D21" s="2"/>
      <c r="E21" s="2"/>
      <c r="F21" s="36">
        <v>90000</v>
      </c>
      <c r="H21" s="28">
        <f>F21</f>
        <v>90000</v>
      </c>
      <c r="I21" s="54"/>
      <c r="J21" s="57">
        <v>9</v>
      </c>
    </row>
    <row r="22" spans="2:10" x14ac:dyDescent="0.25">
      <c r="B22" t="s">
        <v>12</v>
      </c>
      <c r="F22" s="20">
        <f>SUM(F20:F21)</f>
        <v>342400</v>
      </c>
      <c r="H22" s="20">
        <f>SUM(H20:H21)</f>
        <v>242000</v>
      </c>
      <c r="I22" s="50"/>
      <c r="J22" s="57">
        <v>10</v>
      </c>
    </row>
    <row r="23" spans="2:10" x14ac:dyDescent="0.25">
      <c r="B23" s="2" t="s">
        <v>37</v>
      </c>
      <c r="C23" s="2"/>
      <c r="D23" s="2"/>
      <c r="E23" s="2"/>
      <c r="F23" s="36">
        <v>200000</v>
      </c>
      <c r="H23" s="33">
        <f>H24-H22</f>
        <v>184050</v>
      </c>
      <c r="I23" s="49"/>
      <c r="J23" s="57">
        <v>20</v>
      </c>
    </row>
    <row r="24" spans="2:10" x14ac:dyDescent="0.25">
      <c r="B24" t="s">
        <v>13</v>
      </c>
      <c r="F24" s="20">
        <f>SUM(F22:F23)</f>
        <v>542400</v>
      </c>
      <c r="H24" s="47">
        <f>H18-H25-H26-H27</f>
        <v>426050</v>
      </c>
      <c r="I24" s="50"/>
      <c r="J24" s="57">
        <v>19</v>
      </c>
    </row>
    <row r="25" spans="2:10" x14ac:dyDescent="0.25">
      <c r="B25" t="s">
        <v>38</v>
      </c>
      <c r="F25" s="39">
        <v>200000</v>
      </c>
      <c r="H25" s="20">
        <f>F25</f>
        <v>200000</v>
      </c>
      <c r="I25" s="50"/>
      <c r="J25" s="57">
        <v>11</v>
      </c>
    </row>
    <row r="26" spans="2:10" x14ac:dyDescent="0.25">
      <c r="B26" t="s">
        <v>39</v>
      </c>
      <c r="F26" s="39">
        <v>800000</v>
      </c>
      <c r="H26" s="20">
        <f>F26</f>
        <v>800000</v>
      </c>
      <c r="I26" s="50"/>
      <c r="J26" s="57">
        <v>12</v>
      </c>
    </row>
    <row r="27" spans="2:10" x14ac:dyDescent="0.25">
      <c r="B27" s="2" t="s">
        <v>1</v>
      </c>
      <c r="C27" s="2"/>
      <c r="D27" s="2"/>
      <c r="E27" s="2"/>
      <c r="F27" s="36">
        <v>1121200</v>
      </c>
      <c r="H27" s="33">
        <f>F27-H77</f>
        <v>431200</v>
      </c>
      <c r="I27" s="49"/>
      <c r="J27" s="57">
        <v>13</v>
      </c>
    </row>
    <row r="28" spans="2:10" x14ac:dyDescent="0.25">
      <c r="B28" s="22" t="s">
        <v>14</v>
      </c>
      <c r="F28" s="20">
        <f>SUM(F24:F27)</f>
        <v>2663600</v>
      </c>
      <c r="H28" s="20">
        <f>SUM(H24:H27)</f>
        <v>1857250</v>
      </c>
      <c r="I28" s="50"/>
      <c r="J28" s="57">
        <v>18</v>
      </c>
    </row>
    <row r="29" spans="2:10" x14ac:dyDescent="0.25">
      <c r="J29" s="51"/>
    </row>
    <row r="30" spans="2:10" x14ac:dyDescent="0.25">
      <c r="B30" t="s">
        <v>16</v>
      </c>
      <c r="F30" s="20">
        <f>F18-F28</f>
        <v>0</v>
      </c>
      <c r="H30" s="20">
        <f>H18-H28</f>
        <v>0</v>
      </c>
      <c r="I30" s="50"/>
      <c r="J30" s="51"/>
    </row>
    <row r="31" spans="2:10" x14ac:dyDescent="0.25">
      <c r="J31" s="51"/>
    </row>
    <row r="32" spans="2:10" x14ac:dyDescent="0.25">
      <c r="B32" s="12" t="s">
        <v>48</v>
      </c>
      <c r="J32" s="51"/>
    </row>
    <row r="33" spans="2:10" x14ac:dyDescent="0.25">
      <c r="B33" t="s">
        <v>49</v>
      </c>
      <c r="F33" s="41">
        <v>1.6</v>
      </c>
      <c r="J33" s="51"/>
    </row>
    <row r="34" spans="2:10" x14ac:dyDescent="0.25">
      <c r="B34" t="s">
        <v>25</v>
      </c>
      <c r="F34" s="21">
        <v>36</v>
      </c>
      <c r="J34" s="51"/>
    </row>
    <row r="35" spans="2:10" x14ac:dyDescent="0.25">
      <c r="B35" t="s">
        <v>50</v>
      </c>
      <c r="F35" s="21">
        <v>35</v>
      </c>
      <c r="J35" s="51"/>
    </row>
    <row r="36" spans="2:10" x14ac:dyDescent="0.25">
      <c r="B36" t="s">
        <v>51</v>
      </c>
      <c r="F36" s="21">
        <v>40</v>
      </c>
      <c r="J36" s="51"/>
    </row>
    <row r="37" spans="2:10" x14ac:dyDescent="0.25">
      <c r="B37" t="s">
        <v>43</v>
      </c>
      <c r="F37" s="42">
        <f>F34+F35-F36</f>
        <v>31</v>
      </c>
      <c r="J37" s="51"/>
    </row>
    <row r="38" spans="2:10" x14ac:dyDescent="0.25">
      <c r="B38" t="s">
        <v>52</v>
      </c>
      <c r="F38" s="41">
        <v>1.2</v>
      </c>
      <c r="J38" s="51"/>
    </row>
    <row r="39" spans="2:10" x14ac:dyDescent="0.25">
      <c r="J39" s="51"/>
    </row>
    <row r="40" spans="2:10" x14ac:dyDescent="0.25">
      <c r="J40" s="51"/>
    </row>
    <row r="41" spans="2:10" x14ac:dyDescent="0.25">
      <c r="J41" s="51"/>
    </row>
    <row r="42" spans="2:10" x14ac:dyDescent="0.25">
      <c r="B42" s="78" t="s">
        <v>25</v>
      </c>
      <c r="C42" s="78"/>
      <c r="D42" s="78"/>
      <c r="E42" s="78"/>
      <c r="F42" s="30" t="s">
        <v>24</v>
      </c>
      <c r="G42" s="30"/>
      <c r="H42" s="30" t="s">
        <v>53</v>
      </c>
      <c r="J42" s="51"/>
    </row>
    <row r="43" spans="2:10" x14ac:dyDescent="0.25">
      <c r="B43" t="s">
        <v>7</v>
      </c>
      <c r="F43" s="20">
        <f>F14</f>
        <v>469200</v>
      </c>
      <c r="G43" s="8"/>
      <c r="H43" s="45">
        <f>H44*H45</f>
        <v>219816.98630136985</v>
      </c>
      <c r="I43" s="54"/>
      <c r="J43" s="54"/>
    </row>
    <row r="44" spans="2:10" x14ac:dyDescent="0.25">
      <c r="B44" s="2" t="s">
        <v>23</v>
      </c>
      <c r="C44" s="2"/>
      <c r="D44" s="2"/>
      <c r="E44" s="2"/>
      <c r="F44" s="23">
        <f>F2/365</f>
        <v>6427.3972602739723</v>
      </c>
      <c r="H44" s="31">
        <f>H2/365</f>
        <v>6106.0273972602736</v>
      </c>
      <c r="I44" s="49"/>
      <c r="J44" s="49"/>
    </row>
    <row r="45" spans="2:10" x14ac:dyDescent="0.25">
      <c r="F45" s="13">
        <f>F43/F44</f>
        <v>73</v>
      </c>
      <c r="H45" s="29">
        <f>F34</f>
        <v>36</v>
      </c>
      <c r="I45" s="55"/>
      <c r="J45" s="55"/>
    </row>
    <row r="46" spans="2:10" x14ac:dyDescent="0.25">
      <c r="F46" s="13"/>
      <c r="J46" s="51"/>
    </row>
    <row r="47" spans="2:10" x14ac:dyDescent="0.25">
      <c r="B47" s="12" t="s">
        <v>50</v>
      </c>
      <c r="J47" s="51"/>
    </row>
    <row r="48" spans="2:10" x14ac:dyDescent="0.25">
      <c r="B48" t="s">
        <v>8</v>
      </c>
      <c r="F48" s="20">
        <f>F15</f>
        <v>322700</v>
      </c>
      <c r="H48" s="45">
        <f>H50*H49</f>
        <v>133000</v>
      </c>
      <c r="I48" s="54"/>
      <c r="J48" s="54"/>
    </row>
    <row r="49" spans="2:10" x14ac:dyDescent="0.25">
      <c r="B49" s="2" t="s">
        <v>31</v>
      </c>
      <c r="C49" s="2"/>
      <c r="D49" s="2"/>
      <c r="E49" s="2"/>
      <c r="F49" s="23">
        <f>F3/365</f>
        <v>4000</v>
      </c>
      <c r="H49" s="31">
        <f>H3/365</f>
        <v>3800</v>
      </c>
      <c r="I49" s="49"/>
      <c r="J49" s="49"/>
    </row>
    <row r="50" spans="2:10" x14ac:dyDescent="0.25">
      <c r="F50" s="13">
        <f>F48/F49</f>
        <v>80.674999999999997</v>
      </c>
      <c r="H50" s="29">
        <f>F35</f>
        <v>35</v>
      </c>
      <c r="I50" s="55"/>
      <c r="J50" s="55"/>
    </row>
    <row r="51" spans="2:10" x14ac:dyDescent="0.25">
      <c r="J51" s="51"/>
    </row>
    <row r="52" spans="2:10" x14ac:dyDescent="0.25">
      <c r="B52" s="12" t="s">
        <v>51</v>
      </c>
      <c r="J52" s="51"/>
    </row>
    <row r="53" spans="2:10" x14ac:dyDescent="0.25">
      <c r="B53" t="s">
        <v>22</v>
      </c>
      <c r="F53" s="20">
        <f>F20</f>
        <v>252400</v>
      </c>
      <c r="H53" s="77">
        <f>H55*H54</f>
        <v>152000</v>
      </c>
      <c r="I53" s="49"/>
      <c r="J53" s="49"/>
    </row>
    <row r="54" spans="2:10" x14ac:dyDescent="0.25">
      <c r="B54" s="2" t="s">
        <v>31</v>
      </c>
      <c r="C54" s="2"/>
      <c r="D54" s="2"/>
      <c r="E54" s="2"/>
      <c r="F54" s="23">
        <f>F3/365</f>
        <v>4000</v>
      </c>
      <c r="H54" s="31">
        <f>H3/365</f>
        <v>3800</v>
      </c>
      <c r="I54" s="49"/>
      <c r="J54" s="49"/>
    </row>
    <row r="55" spans="2:10" x14ac:dyDescent="0.25">
      <c r="F55" s="13">
        <f>F53/F54</f>
        <v>63.1</v>
      </c>
      <c r="H55" s="29">
        <f>F36</f>
        <v>40</v>
      </c>
      <c r="I55" s="55"/>
      <c r="J55" s="55"/>
    </row>
    <row r="56" spans="2:10" x14ac:dyDescent="0.25">
      <c r="J56" s="51"/>
    </row>
    <row r="57" spans="2:10" x14ac:dyDescent="0.25">
      <c r="B57" s="12" t="s">
        <v>43</v>
      </c>
      <c r="J57" s="51"/>
    </row>
    <row r="58" spans="2:10" x14ac:dyDescent="0.25">
      <c r="B58" t="s">
        <v>40</v>
      </c>
      <c r="F58" s="16">
        <f>F45</f>
        <v>73</v>
      </c>
      <c r="H58" s="16">
        <f>H45</f>
        <v>36</v>
      </c>
      <c r="I58" s="56"/>
      <c r="J58" s="56"/>
    </row>
    <row r="59" spans="2:10" x14ac:dyDescent="0.25">
      <c r="B59" s="2" t="s">
        <v>41</v>
      </c>
      <c r="C59" s="2"/>
      <c r="D59" s="2"/>
      <c r="E59" s="2"/>
      <c r="F59" s="17">
        <f>F50</f>
        <v>80.674999999999997</v>
      </c>
      <c r="H59" s="17">
        <f>H50</f>
        <v>35</v>
      </c>
      <c r="I59" s="55"/>
      <c r="J59" s="55"/>
    </row>
    <row r="60" spans="2:10" x14ac:dyDescent="0.25">
      <c r="B60" t="s">
        <v>56</v>
      </c>
      <c r="F60" s="16">
        <f>SUM(F58:F59)</f>
        <v>153.67500000000001</v>
      </c>
      <c r="H60" s="16">
        <f>SUM(H58:H59)</f>
        <v>71</v>
      </c>
      <c r="I60" s="56"/>
      <c r="J60" s="16"/>
    </row>
    <row r="61" spans="2:10" x14ac:dyDescent="0.25">
      <c r="B61" s="2" t="s">
        <v>42</v>
      </c>
      <c r="C61" s="2"/>
      <c r="D61" s="2"/>
      <c r="E61" s="2"/>
      <c r="F61" s="17">
        <f>F55</f>
        <v>63.1</v>
      </c>
      <c r="H61" s="17">
        <f>H55</f>
        <v>40</v>
      </c>
      <c r="I61" s="55"/>
      <c r="J61" s="29"/>
    </row>
    <row r="62" spans="2:10" x14ac:dyDescent="0.25">
      <c r="B62" t="s">
        <v>43</v>
      </c>
      <c r="F62" s="16">
        <f>F60-F61</f>
        <v>90.575000000000017</v>
      </c>
      <c r="H62" s="16">
        <f>H60-H61</f>
        <v>31</v>
      </c>
      <c r="I62" s="56"/>
      <c r="J62" s="16"/>
    </row>
    <row r="64" spans="2:10" x14ac:dyDescent="0.25">
      <c r="B64" s="12" t="s">
        <v>49</v>
      </c>
    </row>
    <row r="65" spans="2:10" x14ac:dyDescent="0.25">
      <c r="B65" t="s">
        <v>54</v>
      </c>
      <c r="F65" s="20">
        <f>F16</f>
        <v>1012700</v>
      </c>
      <c r="H65" s="45">
        <f>H67*H66</f>
        <v>387200</v>
      </c>
      <c r="I65" s="54"/>
      <c r="J65" s="32"/>
    </row>
    <row r="66" spans="2:10" x14ac:dyDescent="0.25">
      <c r="B66" s="2" t="s">
        <v>55</v>
      </c>
      <c r="C66" s="2"/>
      <c r="D66" s="2"/>
      <c r="E66" s="2"/>
      <c r="F66" s="23">
        <f>F22</f>
        <v>342400</v>
      </c>
      <c r="H66" s="31">
        <f>H22</f>
        <v>242000</v>
      </c>
      <c r="I66" s="49"/>
      <c r="J66" s="31"/>
    </row>
    <row r="67" spans="2:10" x14ac:dyDescent="0.25">
      <c r="F67" s="9">
        <f>F65/F66</f>
        <v>2.9576518691588785</v>
      </c>
      <c r="H67" s="46">
        <f>F33</f>
        <v>1.6</v>
      </c>
      <c r="I67" s="64"/>
      <c r="J67" s="46"/>
    </row>
    <row r="69" spans="2:10" x14ac:dyDescent="0.25">
      <c r="B69" s="12" t="s">
        <v>52</v>
      </c>
    </row>
    <row r="70" spans="2:10" x14ac:dyDescent="0.25">
      <c r="B70" t="s">
        <v>0</v>
      </c>
      <c r="F70" s="20">
        <f>F2</f>
        <v>2346000</v>
      </c>
      <c r="H70" s="20">
        <f>H2</f>
        <v>2228700</v>
      </c>
      <c r="I70" s="50"/>
      <c r="J70" s="20"/>
    </row>
    <row r="71" spans="2:10" x14ac:dyDescent="0.25">
      <c r="B71" s="2" t="s">
        <v>11</v>
      </c>
      <c r="C71" s="2"/>
      <c r="D71" s="2"/>
      <c r="E71" s="2"/>
      <c r="F71" s="23">
        <f>F18</f>
        <v>2663600</v>
      </c>
      <c r="H71" s="45">
        <f>H70/H72</f>
        <v>1857250</v>
      </c>
      <c r="I71" s="54"/>
      <c r="J71" s="32"/>
    </row>
    <row r="72" spans="2:10" x14ac:dyDescent="0.25">
      <c r="F72" s="9">
        <f>F70/F71</f>
        <v>0.88076287730890523</v>
      </c>
      <c r="H72" s="18">
        <f>F38</f>
        <v>1.2</v>
      </c>
      <c r="I72" s="65"/>
      <c r="J72" s="18"/>
    </row>
    <row r="74" spans="2:10" x14ac:dyDescent="0.25">
      <c r="B74" s="12" t="s">
        <v>58</v>
      </c>
    </row>
    <row r="75" spans="2:10" x14ac:dyDescent="0.25">
      <c r="B75" t="s">
        <v>59</v>
      </c>
      <c r="H75" s="13">
        <f>H25</f>
        <v>200000</v>
      </c>
      <c r="I75" s="59"/>
    </row>
    <row r="76" spans="2:10" x14ac:dyDescent="0.25">
      <c r="B76" s="2" t="s">
        <v>60</v>
      </c>
      <c r="C76" s="2"/>
      <c r="D76" s="2"/>
      <c r="E76" s="2"/>
      <c r="F76" s="2"/>
      <c r="G76" s="2"/>
      <c r="H76" s="37">
        <v>3.45</v>
      </c>
      <c r="I76" s="66"/>
    </row>
    <row r="77" spans="2:10" x14ac:dyDescent="0.25">
      <c r="B77" t="s">
        <v>58</v>
      </c>
      <c r="H77" s="7">
        <f>H75*H76</f>
        <v>690000</v>
      </c>
      <c r="I77" s="53"/>
    </row>
    <row r="85" spans="2:9" x14ac:dyDescent="0.25">
      <c r="B85" s="12" t="s">
        <v>44</v>
      </c>
    </row>
    <row r="86" spans="2:9" x14ac:dyDescent="0.25">
      <c r="B86" t="s">
        <v>46</v>
      </c>
      <c r="H86" s="21">
        <v>50</v>
      </c>
      <c r="I86" s="67"/>
    </row>
    <row r="87" spans="2:9" x14ac:dyDescent="0.25">
      <c r="B87" s="40" t="s">
        <v>21</v>
      </c>
      <c r="H87" s="1">
        <v>400</v>
      </c>
      <c r="I87" s="68"/>
    </row>
    <row r="88" spans="2:9" x14ac:dyDescent="0.25">
      <c r="B88" t="s">
        <v>45</v>
      </c>
      <c r="H88" s="1">
        <v>250</v>
      </c>
      <c r="I88" s="68"/>
    </row>
    <row r="89" spans="2:9" x14ac:dyDescent="0.25">
      <c r="B89" t="s">
        <v>47</v>
      </c>
      <c r="H89" s="1">
        <v>8</v>
      </c>
      <c r="I89" s="68"/>
    </row>
    <row r="90" spans="2:9" x14ac:dyDescent="0.25">
      <c r="H90" s="1"/>
      <c r="I90" s="68"/>
    </row>
    <row r="91" spans="2:9" x14ac:dyDescent="0.25">
      <c r="B91" t="s">
        <v>61</v>
      </c>
      <c r="H91" s="6">
        <v>0.3</v>
      </c>
      <c r="I91" s="69"/>
    </row>
    <row r="92" spans="2:9" x14ac:dyDescent="0.25">
      <c r="B92" t="s">
        <v>65</v>
      </c>
      <c r="H92" s="21">
        <v>6</v>
      </c>
      <c r="I92" s="67"/>
    </row>
    <row r="94" spans="2:9" x14ac:dyDescent="0.25">
      <c r="B94" t="s">
        <v>62</v>
      </c>
      <c r="H94" s="20">
        <f>F3</f>
        <v>1460000</v>
      </c>
      <c r="I94" s="50"/>
    </row>
    <row r="95" spans="2:9" x14ac:dyDescent="0.25">
      <c r="B95" s="2" t="s">
        <v>21</v>
      </c>
      <c r="C95" s="2"/>
      <c r="D95" s="2"/>
      <c r="E95" s="2"/>
      <c r="F95" s="2"/>
      <c r="G95" s="2"/>
      <c r="H95" s="5">
        <f>H87</f>
        <v>400</v>
      </c>
      <c r="I95" s="63"/>
    </row>
    <row r="96" spans="2:9" x14ac:dyDescent="0.25">
      <c r="B96" t="s">
        <v>63</v>
      </c>
      <c r="H96" s="13">
        <f>H94/H95</f>
        <v>3650</v>
      </c>
      <c r="I96" s="59"/>
    </row>
    <row r="97" spans="1:15" x14ac:dyDescent="0.25">
      <c r="B97" t="s">
        <v>64</v>
      </c>
      <c r="H97" s="16">
        <f>H96/12</f>
        <v>304.16666666666669</v>
      </c>
      <c r="I97" s="70"/>
    </row>
    <row r="99" spans="1:15" x14ac:dyDescent="0.25">
      <c r="A99" s="76" t="s">
        <v>19</v>
      </c>
      <c r="B99" s="3" t="s">
        <v>83</v>
      </c>
      <c r="C99" s="3"/>
      <c r="D99" s="3"/>
      <c r="E99" s="3"/>
      <c r="F99" s="3"/>
      <c r="G99" s="3"/>
      <c r="H99" s="25" t="s">
        <v>24</v>
      </c>
      <c r="J99" s="73" t="s">
        <v>53</v>
      </c>
    </row>
    <row r="100" spans="1:15" x14ac:dyDescent="0.25">
      <c r="B100" t="s">
        <v>63</v>
      </c>
      <c r="H100" s="16">
        <f>H96</f>
        <v>3650</v>
      </c>
      <c r="J100" s="16">
        <f>H100</f>
        <v>3650</v>
      </c>
    </row>
    <row r="101" spans="1:15" x14ac:dyDescent="0.25">
      <c r="B101" s="2" t="s">
        <v>46</v>
      </c>
      <c r="C101" s="2"/>
      <c r="D101" s="2"/>
      <c r="E101" s="2"/>
      <c r="F101" s="2"/>
      <c r="G101" s="2"/>
      <c r="H101" s="17">
        <f>H86</f>
        <v>50</v>
      </c>
      <c r="J101" s="75">
        <f>J100/J102</f>
        <v>7.6419892698171203</v>
      </c>
      <c r="L101" t="s">
        <v>84</v>
      </c>
      <c r="O101" s="21">
        <v>2</v>
      </c>
    </row>
    <row r="102" spans="1:15" x14ac:dyDescent="0.25">
      <c r="B102" t="s">
        <v>66</v>
      </c>
      <c r="H102" s="16">
        <f>H100/H101</f>
        <v>73</v>
      </c>
      <c r="J102" s="16">
        <f>O108</f>
        <v>477.62432936356998</v>
      </c>
      <c r="L102" t="s">
        <v>63</v>
      </c>
      <c r="O102" s="16">
        <f>H96</f>
        <v>3650</v>
      </c>
    </row>
    <row r="103" spans="1:15" x14ac:dyDescent="0.25">
      <c r="L103" s="2" t="s">
        <v>27</v>
      </c>
      <c r="M103" s="2"/>
      <c r="N103" s="2"/>
      <c r="O103" s="5">
        <f>H88</f>
        <v>250</v>
      </c>
    </row>
    <row r="104" spans="1:15" x14ac:dyDescent="0.25">
      <c r="B104" t="s">
        <v>46</v>
      </c>
      <c r="H104" s="16">
        <f>H101</f>
        <v>50</v>
      </c>
      <c r="J104" s="16">
        <f>J101</f>
        <v>7.6419892698171203</v>
      </c>
      <c r="O104" s="7">
        <f>O101*O102*O103</f>
        <v>1825000</v>
      </c>
    </row>
    <row r="105" spans="1:15" x14ac:dyDescent="0.25">
      <c r="B105" s="2" t="s">
        <v>27</v>
      </c>
      <c r="C105" s="2"/>
      <c r="D105" s="2"/>
      <c r="E105" s="2"/>
      <c r="F105" s="2"/>
      <c r="G105" s="2"/>
      <c r="H105" s="5">
        <f>H88</f>
        <v>250</v>
      </c>
      <c r="J105" s="5">
        <f>H105</f>
        <v>250</v>
      </c>
      <c r="L105" s="2" t="s">
        <v>47</v>
      </c>
      <c r="M105" s="2"/>
      <c r="N105" s="2"/>
      <c r="O105" s="5">
        <f>H89</f>
        <v>8</v>
      </c>
    </row>
    <row r="106" spans="1:15" x14ac:dyDescent="0.25">
      <c r="H106" s="7">
        <f>H104*H105</f>
        <v>12500</v>
      </c>
      <c r="J106" s="7">
        <f>J104*J105</f>
        <v>1910.4973174542802</v>
      </c>
      <c r="O106" s="13">
        <f>O104/O105</f>
        <v>228125</v>
      </c>
    </row>
    <row r="107" spans="1:15" x14ac:dyDescent="0.25">
      <c r="L107" s="2" t="s">
        <v>84</v>
      </c>
      <c r="M107" s="2"/>
      <c r="N107" s="2"/>
      <c r="O107" s="74">
        <v>0.5</v>
      </c>
    </row>
    <row r="108" spans="1:15" x14ac:dyDescent="0.25">
      <c r="B108" t="s">
        <v>66</v>
      </c>
      <c r="H108" s="16">
        <f>H102</f>
        <v>73</v>
      </c>
      <c r="J108" s="16">
        <f>J102</f>
        <v>477.62432936356998</v>
      </c>
      <c r="L108" s="22" t="s">
        <v>28</v>
      </c>
      <c r="O108" s="16">
        <f>O106^O107</f>
        <v>477.62432936356998</v>
      </c>
    </row>
    <row r="109" spans="1:15" x14ac:dyDescent="0.25">
      <c r="B109" s="2" t="s">
        <v>47</v>
      </c>
      <c r="C109" s="2"/>
      <c r="D109" s="2"/>
      <c r="E109" s="2"/>
      <c r="F109" s="2"/>
      <c r="G109" s="2"/>
      <c r="H109" s="5">
        <f>H89</f>
        <v>8</v>
      </c>
      <c r="J109" s="5">
        <f>H109</f>
        <v>8</v>
      </c>
    </row>
    <row r="110" spans="1:15" x14ac:dyDescent="0.25">
      <c r="B110" s="19"/>
      <c r="C110" s="19"/>
      <c r="D110" s="19"/>
      <c r="E110" s="19"/>
      <c r="F110" s="19"/>
      <c r="G110" s="19"/>
      <c r="H110" s="26">
        <f>H108*H109</f>
        <v>584</v>
      </c>
      <c r="J110" s="26">
        <f>J108*J109</f>
        <v>3820.9946349085599</v>
      </c>
    </row>
    <row r="111" spans="1:15" x14ac:dyDescent="0.25">
      <c r="B111" t="s">
        <v>67</v>
      </c>
      <c r="H111" s="4">
        <f>H106+H110</f>
        <v>13084</v>
      </c>
      <c r="J111" s="4">
        <f>J106+J110</f>
        <v>5731.4919523628396</v>
      </c>
    </row>
    <row r="112" spans="1:15" x14ac:dyDescent="0.25">
      <c r="B112" s="2" t="s">
        <v>16</v>
      </c>
      <c r="C112" s="2"/>
      <c r="D112" s="2"/>
      <c r="E112" s="2"/>
      <c r="F112" s="2"/>
      <c r="G112" s="2"/>
      <c r="H112" s="5">
        <f>H111-J111</f>
        <v>7352.5080476371604</v>
      </c>
      <c r="I112" s="63"/>
    </row>
    <row r="113" spans="1:9" x14ac:dyDescent="0.25">
      <c r="B113" t="s">
        <v>68</v>
      </c>
      <c r="H113" s="43">
        <f>H112/H111</f>
        <v>0.561946503182296</v>
      </c>
      <c r="I113" s="71"/>
    </row>
    <row r="115" spans="1:9" x14ac:dyDescent="0.25">
      <c r="A115" s="76" t="s">
        <v>20</v>
      </c>
      <c r="B115" t="s">
        <v>70</v>
      </c>
      <c r="H115" s="44">
        <f>H91</f>
        <v>0.3</v>
      </c>
      <c r="I115" s="72"/>
    </row>
    <row r="116" spans="1:9" x14ac:dyDescent="0.25">
      <c r="B116" s="2" t="s">
        <v>64</v>
      </c>
      <c r="C116" s="2"/>
      <c r="D116" s="2"/>
      <c r="E116" s="2"/>
      <c r="F116" s="2"/>
      <c r="G116" s="2"/>
      <c r="H116" s="11">
        <f>H97</f>
        <v>304.16666666666669</v>
      </c>
      <c r="I116" s="57"/>
    </row>
    <row r="117" spans="1:9" x14ac:dyDescent="0.25">
      <c r="B117" s="22" t="s">
        <v>71</v>
      </c>
      <c r="H117" s="16">
        <f>H115*H116</f>
        <v>91.25</v>
      </c>
      <c r="I117" s="56"/>
    </row>
    <row r="118" spans="1:9" x14ac:dyDescent="0.25">
      <c r="B118" t="s">
        <v>65</v>
      </c>
      <c r="H118" s="16">
        <f>H92</f>
        <v>6</v>
      </c>
      <c r="I118" s="56"/>
    </row>
    <row r="119" spans="1:9" x14ac:dyDescent="0.25">
      <c r="B119" s="2" t="s">
        <v>69</v>
      </c>
      <c r="C119" s="2"/>
      <c r="D119" s="2"/>
      <c r="E119" s="2"/>
      <c r="F119" s="2"/>
      <c r="G119" s="2"/>
      <c r="H119" s="17">
        <f>H100/365</f>
        <v>10</v>
      </c>
      <c r="I119" s="55"/>
    </row>
    <row r="120" spans="1:9" x14ac:dyDescent="0.25">
      <c r="B120" s="19" t="s">
        <v>72</v>
      </c>
      <c r="C120" s="19"/>
      <c r="D120" s="19"/>
      <c r="E120" s="19"/>
      <c r="F120" s="19"/>
      <c r="G120" s="19"/>
      <c r="H120" s="34">
        <f>H118*H119</f>
        <v>60</v>
      </c>
      <c r="I120" s="57"/>
    </row>
    <row r="121" spans="1:9" x14ac:dyDescent="0.25">
      <c r="B121" s="22" t="s">
        <v>29</v>
      </c>
      <c r="H121" s="16">
        <f>H117+H120</f>
        <v>151.25</v>
      </c>
      <c r="I121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xotics 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</cp:lastModifiedBy>
  <dcterms:created xsi:type="dcterms:W3CDTF">2017-01-29T10:11:22Z</dcterms:created>
  <dcterms:modified xsi:type="dcterms:W3CDTF">2017-03-30T14:46:34Z</dcterms:modified>
</cp:coreProperties>
</file>